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yrbodal-my.sharepoint.com/personal/andreas_borg_fyrbodal_se/Documents/Dokument/Kommunikation/Dokument etc/"/>
    </mc:Choice>
  </mc:AlternateContent>
  <xr:revisionPtr revIDLastSave="0" documentId="8_{CC3266B4-3B7B-4D6B-A7AC-283D05054CFE}" xr6:coauthVersionLast="47" xr6:coauthVersionMax="47" xr10:uidLastSave="{00000000-0000-0000-0000-000000000000}"/>
  <bookViews>
    <workbookView xWindow="-108" yWindow="-108" windowWidth="23256" windowHeight="12576" tabRatio="858" xr2:uid="{BE810E2F-8204-43FB-85DE-973BBDFE7D81}"/>
  </bookViews>
  <sheets>
    <sheet name="Info" sheetId="35" r:id="rId1"/>
    <sheet name="TCO-bilar-köp-" sheetId="44" r:id="rId2"/>
    <sheet name="TCO-bilar leasing" sheetId="39" r:id="rId3"/>
    <sheet name="Exempel El-Bensin 2500mil" sheetId="36" r:id="rId4"/>
    <sheet name="Exempel El-Bensin 4500mil" sheetId="42" r:id="rId5"/>
    <sheet name="TCO-kalkyl-renhållningsfordon" sheetId="43" r:id="rId6"/>
    <sheet name="TCO-kalkyl - kompaktlastare" sheetId="45" r:id="rId7"/>
  </sheets>
  <calcPr calcId="191028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45" i="45" l="1"/>
  <c r="K43" i="45"/>
  <c r="J43" i="45"/>
  <c r="C43" i="45"/>
  <c r="D43" i="45" s="1"/>
  <c r="J42" i="45"/>
  <c r="K42" i="45" s="1"/>
  <c r="C42" i="45"/>
  <c r="D42" i="45" s="1"/>
  <c r="J39" i="45"/>
  <c r="K39" i="45" s="1"/>
  <c r="C39" i="45"/>
  <c r="D39" i="45" s="1"/>
  <c r="L34" i="45"/>
  <c r="M34" i="45" s="1"/>
  <c r="E34" i="45"/>
  <c r="F34" i="45" s="1"/>
  <c r="M33" i="45"/>
  <c r="L33" i="45"/>
  <c r="E33" i="45"/>
  <c r="F33" i="45" s="1"/>
  <c r="L32" i="45"/>
  <c r="M32" i="45" s="1"/>
  <c r="E32" i="45"/>
  <c r="F32" i="45" s="1"/>
  <c r="L31" i="45"/>
  <c r="M31" i="45" s="1"/>
  <c r="E31" i="45"/>
  <c r="F31" i="45" s="1"/>
  <c r="M30" i="45"/>
  <c r="L30" i="45"/>
  <c r="E30" i="45"/>
  <c r="F30" i="45" s="1"/>
  <c r="K24" i="45"/>
  <c r="D24" i="45"/>
  <c r="K23" i="45"/>
  <c r="D23" i="45"/>
  <c r="K22" i="45"/>
  <c r="D22" i="45"/>
  <c r="K21" i="45"/>
  <c r="D21" i="45"/>
  <c r="K20" i="45"/>
  <c r="K47" i="45" s="1"/>
  <c r="D20" i="45"/>
  <c r="D47" i="45" s="1"/>
  <c r="K12" i="45"/>
  <c r="J40" i="45" s="1"/>
  <c r="K40" i="45" s="1"/>
  <c r="D12" i="45"/>
  <c r="C40" i="45" s="1"/>
  <c r="D40" i="45" s="1"/>
  <c r="L69" i="39"/>
  <c r="M69" i="39" s="1"/>
  <c r="L68" i="39"/>
  <c r="M68" i="39" s="1"/>
  <c r="L67" i="39"/>
  <c r="M67" i="39" s="1"/>
  <c r="L66" i="39"/>
  <c r="L65" i="39"/>
  <c r="E69" i="39"/>
  <c r="F69" i="39" s="1"/>
  <c r="E68" i="39"/>
  <c r="F68" i="39" s="1"/>
  <c r="E67" i="39"/>
  <c r="F67" i="39" s="1"/>
  <c r="E66" i="39"/>
  <c r="F66" i="39" s="1"/>
  <c r="E65" i="39"/>
  <c r="F65" i="39" s="1"/>
  <c r="M66" i="39"/>
  <c r="M65" i="39"/>
  <c r="L67" i="44"/>
  <c r="M67" i="44" s="1"/>
  <c r="E67" i="44"/>
  <c r="F67" i="44" s="1"/>
  <c r="L66" i="44"/>
  <c r="M66" i="44" s="1"/>
  <c r="E66" i="44"/>
  <c r="F66" i="44" s="1"/>
  <c r="L65" i="44"/>
  <c r="M65" i="44" s="1"/>
  <c r="E65" i="44"/>
  <c r="F65" i="44" s="1"/>
  <c r="L64" i="44"/>
  <c r="M64" i="44" s="1"/>
  <c r="E64" i="44"/>
  <c r="F64" i="44" s="1"/>
  <c r="L63" i="44"/>
  <c r="M63" i="44" s="1"/>
  <c r="E63" i="44"/>
  <c r="F63" i="44" s="1"/>
  <c r="J56" i="44"/>
  <c r="L50" i="44" s="1"/>
  <c r="C56" i="44"/>
  <c r="E51" i="44" s="1"/>
  <c r="M51" i="44"/>
  <c r="L51" i="44"/>
  <c r="K51" i="44"/>
  <c r="J51" i="44"/>
  <c r="F51" i="44"/>
  <c r="D51" i="44"/>
  <c r="C51" i="44"/>
  <c r="M50" i="44"/>
  <c r="J38" i="44" s="1"/>
  <c r="K38" i="44" s="1"/>
  <c r="K50" i="44"/>
  <c r="J50" i="44"/>
  <c r="F50" i="44"/>
  <c r="E50" i="44"/>
  <c r="D50" i="44"/>
  <c r="C50" i="44"/>
  <c r="J40" i="44"/>
  <c r="K40" i="44" s="1"/>
  <c r="C40" i="44"/>
  <c r="D40" i="44" s="1"/>
  <c r="J39" i="44"/>
  <c r="K39" i="44" s="1"/>
  <c r="C39" i="44"/>
  <c r="D39" i="44" s="1"/>
  <c r="L38" i="44"/>
  <c r="E38" i="44"/>
  <c r="C38" i="44"/>
  <c r="D38" i="44" s="1"/>
  <c r="J36" i="44"/>
  <c r="K36" i="44" s="1"/>
  <c r="N26" i="44"/>
  <c r="J35" i="44" s="1"/>
  <c r="G26" i="44"/>
  <c r="C36" i="44" s="1"/>
  <c r="D36" i="44" s="1"/>
  <c r="K25" i="44"/>
  <c r="D25" i="44"/>
  <c r="K24" i="44"/>
  <c r="K44" i="44" s="1"/>
  <c r="D24" i="44"/>
  <c r="D44" i="44" s="1"/>
  <c r="K23" i="44"/>
  <c r="D23" i="44"/>
  <c r="K22" i="44"/>
  <c r="D22" i="44"/>
  <c r="K21" i="44"/>
  <c r="D21" i="44"/>
  <c r="J37" i="36"/>
  <c r="C37" i="42"/>
  <c r="L67" i="36"/>
  <c r="M67" i="36" s="1"/>
  <c r="E67" i="36"/>
  <c r="F67" i="36" s="1"/>
  <c r="L66" i="36"/>
  <c r="M66" i="36" s="1"/>
  <c r="E66" i="36"/>
  <c r="F66" i="36" s="1"/>
  <c r="L65" i="36"/>
  <c r="M65" i="36" s="1"/>
  <c r="E65" i="36"/>
  <c r="F65" i="36" s="1"/>
  <c r="L64" i="36"/>
  <c r="M64" i="36" s="1"/>
  <c r="E64" i="36"/>
  <c r="F64" i="36" s="1"/>
  <c r="L63" i="36"/>
  <c r="M63" i="36" s="1"/>
  <c r="E63" i="36"/>
  <c r="F63" i="36" s="1"/>
  <c r="L67" i="42"/>
  <c r="M67" i="42" s="1"/>
  <c r="L66" i="42"/>
  <c r="M66" i="42" s="1"/>
  <c r="L65" i="42"/>
  <c r="M65" i="42" s="1"/>
  <c r="L64" i="42"/>
  <c r="M64" i="42" s="1"/>
  <c r="L63" i="42"/>
  <c r="M63" i="42" s="1"/>
  <c r="E67" i="42"/>
  <c r="F67" i="42" s="1"/>
  <c r="E66" i="42"/>
  <c r="F66" i="42" s="1"/>
  <c r="E65" i="42"/>
  <c r="F65" i="42" s="1"/>
  <c r="E64" i="42"/>
  <c r="F64" i="42" s="1"/>
  <c r="E63" i="42"/>
  <c r="F63" i="42" s="1"/>
  <c r="D48" i="45" l="1"/>
  <c r="C47" i="45"/>
  <c r="C48" i="45" s="1"/>
  <c r="K48" i="45"/>
  <c r="J47" i="45"/>
  <c r="J48" i="45" s="1"/>
  <c r="C41" i="45"/>
  <c r="D41" i="45" s="1"/>
  <c r="D45" i="45" s="1"/>
  <c r="E45" i="45" s="1"/>
  <c r="J41" i="45"/>
  <c r="K41" i="45" s="1"/>
  <c r="K45" i="45" s="1"/>
  <c r="C37" i="44"/>
  <c r="D37" i="44" s="1"/>
  <c r="J37" i="44"/>
  <c r="K37" i="44" s="1"/>
  <c r="K35" i="44"/>
  <c r="K42" i="44" s="1"/>
  <c r="L42" i="44" s="1"/>
  <c r="D45" i="44"/>
  <c r="C44" i="44"/>
  <c r="C45" i="44" s="1"/>
  <c r="K45" i="44"/>
  <c r="J44" i="44"/>
  <c r="J45" i="44" s="1"/>
  <c r="C35" i="44"/>
  <c r="C37" i="36"/>
  <c r="L54" i="43"/>
  <c r="M54" i="43" s="1"/>
  <c r="E54" i="43"/>
  <c r="F54" i="43" s="1"/>
  <c r="L53" i="43"/>
  <c r="M53" i="43" s="1"/>
  <c r="E53" i="43"/>
  <c r="F53" i="43" s="1"/>
  <c r="L52" i="43"/>
  <c r="M52" i="43" s="1"/>
  <c r="E52" i="43"/>
  <c r="F52" i="43" s="1"/>
  <c r="L51" i="43"/>
  <c r="M51" i="43" s="1"/>
  <c r="E51" i="43"/>
  <c r="F51" i="43" s="1"/>
  <c r="L50" i="43"/>
  <c r="M50" i="43" s="1"/>
  <c r="E50" i="43"/>
  <c r="F50" i="43" s="1"/>
  <c r="J40" i="43"/>
  <c r="K40" i="43" s="1"/>
  <c r="C40" i="43"/>
  <c r="D40" i="43" s="1"/>
  <c r="J39" i="43"/>
  <c r="K39" i="43" s="1"/>
  <c r="C39" i="43"/>
  <c r="D39" i="43" s="1"/>
  <c r="L38" i="43"/>
  <c r="K38" i="43"/>
  <c r="E38" i="43"/>
  <c r="D38" i="43"/>
  <c r="N26" i="43"/>
  <c r="J36" i="43" s="1"/>
  <c r="K36" i="43" s="1"/>
  <c r="G26" i="43"/>
  <c r="C35" i="43" s="1"/>
  <c r="K25" i="43"/>
  <c r="D25" i="43"/>
  <c r="K24" i="43"/>
  <c r="D24" i="43"/>
  <c r="K23" i="43"/>
  <c r="D23" i="43"/>
  <c r="K22" i="43"/>
  <c r="D22" i="43"/>
  <c r="K21" i="43"/>
  <c r="D21" i="43"/>
  <c r="C45" i="45" l="1"/>
  <c r="J45" i="45"/>
  <c r="J42" i="44"/>
  <c r="C42" i="44"/>
  <c r="D35" i="44"/>
  <c r="D42" i="44" s="1"/>
  <c r="E42" i="44" s="1"/>
  <c r="K44" i="43"/>
  <c r="J44" i="43" s="1"/>
  <c r="J45" i="43" s="1"/>
  <c r="C37" i="43"/>
  <c r="D37" i="43" s="1"/>
  <c r="J37" i="43"/>
  <c r="K37" i="43" s="1"/>
  <c r="D35" i="43"/>
  <c r="J35" i="43"/>
  <c r="C36" i="43"/>
  <c r="D36" i="43" s="1"/>
  <c r="D44" i="43"/>
  <c r="K45" i="43" l="1"/>
  <c r="K35" i="43"/>
  <c r="K42" i="43" s="1"/>
  <c r="L42" i="43" s="1"/>
  <c r="J42" i="43"/>
  <c r="C42" i="43"/>
  <c r="D45" i="43"/>
  <c r="C44" i="43"/>
  <c r="C45" i="43" s="1"/>
  <c r="D42" i="43"/>
  <c r="E42" i="43" s="1"/>
  <c r="J56" i="42" l="1"/>
  <c r="L50" i="42" s="1"/>
  <c r="C56" i="42"/>
  <c r="E51" i="42" s="1"/>
  <c r="M51" i="42"/>
  <c r="K51" i="42"/>
  <c r="J51" i="42"/>
  <c r="F51" i="42"/>
  <c r="D51" i="42"/>
  <c r="C51" i="42"/>
  <c r="M50" i="42"/>
  <c r="J38" i="42" s="1"/>
  <c r="K38" i="42" s="1"/>
  <c r="K50" i="42"/>
  <c r="J50" i="42"/>
  <c r="F50" i="42"/>
  <c r="D50" i="42"/>
  <c r="C50" i="42"/>
  <c r="J40" i="42"/>
  <c r="K40" i="42" s="1"/>
  <c r="C40" i="42"/>
  <c r="D40" i="42" s="1"/>
  <c r="J39" i="42"/>
  <c r="K39" i="42" s="1"/>
  <c r="C39" i="42"/>
  <c r="D39" i="42" s="1"/>
  <c r="L38" i="42"/>
  <c r="E38" i="42"/>
  <c r="N26" i="42"/>
  <c r="J36" i="42" s="1"/>
  <c r="K36" i="42" s="1"/>
  <c r="G26" i="42"/>
  <c r="C35" i="42" s="1"/>
  <c r="K25" i="42"/>
  <c r="D25" i="42"/>
  <c r="K24" i="42"/>
  <c r="D24" i="42"/>
  <c r="K23" i="42"/>
  <c r="D23" i="42"/>
  <c r="K22" i="42"/>
  <c r="D22" i="42"/>
  <c r="K21" i="42"/>
  <c r="D21" i="42"/>
  <c r="J41" i="39"/>
  <c r="K41" i="39" s="1"/>
  <c r="J40" i="39"/>
  <c r="K40" i="39" s="1"/>
  <c r="J58" i="39"/>
  <c r="L53" i="39" s="1"/>
  <c r="C58" i="39"/>
  <c r="E52" i="39" s="1"/>
  <c r="M53" i="39"/>
  <c r="K53" i="39"/>
  <c r="J53" i="39"/>
  <c r="F53" i="39"/>
  <c r="D53" i="39"/>
  <c r="C53" i="39"/>
  <c r="M52" i="39"/>
  <c r="K52" i="39"/>
  <c r="J52" i="39"/>
  <c r="F52" i="39"/>
  <c r="D52" i="39"/>
  <c r="C52" i="39"/>
  <c r="C41" i="39"/>
  <c r="D41" i="39" s="1"/>
  <c r="C40" i="39"/>
  <c r="D40" i="39" s="1"/>
  <c r="L39" i="39"/>
  <c r="E39" i="39"/>
  <c r="N27" i="39"/>
  <c r="J37" i="39" s="1"/>
  <c r="K37" i="39" s="1"/>
  <c r="G27" i="39"/>
  <c r="C36" i="39" s="1"/>
  <c r="K26" i="39"/>
  <c r="D26" i="39"/>
  <c r="K25" i="39"/>
  <c r="D25" i="39"/>
  <c r="K24" i="39"/>
  <c r="D24" i="39"/>
  <c r="K23" i="39"/>
  <c r="D23" i="39"/>
  <c r="K22" i="39"/>
  <c r="D22" i="39"/>
  <c r="J38" i="39" l="1"/>
  <c r="C38" i="39"/>
  <c r="E53" i="39"/>
  <c r="K38" i="39"/>
  <c r="J37" i="42"/>
  <c r="E50" i="42"/>
  <c r="L51" i="42"/>
  <c r="C38" i="42"/>
  <c r="D38" i="42" s="1"/>
  <c r="K44" i="42"/>
  <c r="K45" i="42" s="1"/>
  <c r="C36" i="42"/>
  <c r="D36" i="42" s="1"/>
  <c r="D44" i="42"/>
  <c r="D45" i="42" s="1"/>
  <c r="C44" i="42"/>
  <c r="C45" i="42" s="1"/>
  <c r="K37" i="42"/>
  <c r="D35" i="42"/>
  <c r="J35" i="42"/>
  <c r="D37" i="42"/>
  <c r="J36" i="39"/>
  <c r="K36" i="39" s="1"/>
  <c r="C39" i="39"/>
  <c r="D39" i="39" s="1"/>
  <c r="K46" i="39"/>
  <c r="D46" i="39"/>
  <c r="C46" i="39" s="1"/>
  <c r="C47" i="39" s="1"/>
  <c r="L52" i="39"/>
  <c r="J39" i="39" s="1"/>
  <c r="K39" i="39" s="1"/>
  <c r="D36" i="39"/>
  <c r="C37" i="39"/>
  <c r="D37" i="39" s="1"/>
  <c r="D38" i="39"/>
  <c r="J44" i="42" l="1"/>
  <c r="J45" i="42" s="1"/>
  <c r="C42" i="42"/>
  <c r="J42" i="42"/>
  <c r="K35" i="42"/>
  <c r="K42" i="42" s="1"/>
  <c r="L42" i="42" s="1"/>
  <c r="D42" i="42"/>
  <c r="E42" i="42" s="1"/>
  <c r="D47" i="39"/>
  <c r="K44" i="39"/>
  <c r="L44" i="39" s="1"/>
  <c r="C44" i="39"/>
  <c r="D44" i="39"/>
  <c r="E44" i="39" s="1"/>
  <c r="J44" i="39"/>
  <c r="K47" i="39"/>
  <c r="J46" i="39"/>
  <c r="J47" i="39" s="1"/>
  <c r="J56" i="36" l="1"/>
  <c r="L50" i="36" s="1"/>
  <c r="C56" i="36"/>
  <c r="E51" i="36" s="1"/>
  <c r="M51" i="36"/>
  <c r="K51" i="36"/>
  <c r="J51" i="36"/>
  <c r="F51" i="36"/>
  <c r="D51" i="36"/>
  <c r="C51" i="36"/>
  <c r="M50" i="36"/>
  <c r="K50" i="36"/>
  <c r="J50" i="36"/>
  <c r="F50" i="36"/>
  <c r="D50" i="36"/>
  <c r="C50" i="36"/>
  <c r="J40" i="36"/>
  <c r="K40" i="36" s="1"/>
  <c r="C40" i="36"/>
  <c r="D40" i="36" s="1"/>
  <c r="J39" i="36"/>
  <c r="K39" i="36" s="1"/>
  <c r="C39" i="36"/>
  <c r="D39" i="36" s="1"/>
  <c r="L38" i="36"/>
  <c r="E38" i="36"/>
  <c r="N26" i="36"/>
  <c r="J35" i="36" s="1"/>
  <c r="G26" i="36"/>
  <c r="K25" i="36"/>
  <c r="D25" i="36"/>
  <c r="K24" i="36"/>
  <c r="D24" i="36"/>
  <c r="K23" i="36"/>
  <c r="D23" i="36"/>
  <c r="K22" i="36"/>
  <c r="D22" i="36"/>
  <c r="K21" i="36"/>
  <c r="D21" i="36"/>
  <c r="C36" i="36" l="1"/>
  <c r="D36" i="36" s="1"/>
  <c r="C35" i="36"/>
  <c r="D35" i="36" s="1"/>
  <c r="E50" i="36"/>
  <c r="C38" i="36"/>
  <c r="D38" i="36" s="1"/>
  <c r="L51" i="36"/>
  <c r="D44" i="36"/>
  <c r="D45" i="36" s="1"/>
  <c r="K37" i="36"/>
  <c r="J38" i="36"/>
  <c r="K38" i="36" s="1"/>
  <c r="K35" i="36"/>
  <c r="D37" i="36"/>
  <c r="J36" i="36"/>
  <c r="K36" i="36" s="1"/>
  <c r="K44" i="36"/>
  <c r="C44" i="36" l="1"/>
  <c r="C45" i="36" s="1"/>
  <c r="J42" i="36"/>
  <c r="K42" i="36"/>
  <c r="L42" i="36" s="1"/>
  <c r="D42" i="36"/>
  <c r="E42" i="36" s="1"/>
  <c r="C42" i="36"/>
  <c r="K45" i="36"/>
  <c r="J44" i="36"/>
  <c r="J45" i="36" s="1"/>
</calcChain>
</file>

<file path=xl/sharedStrings.xml><?xml version="1.0" encoding="utf-8"?>
<sst xmlns="http://schemas.openxmlformats.org/spreadsheetml/2006/main" count="849" uniqueCount="133">
  <si>
    <t>Innehållsförteckning</t>
  </si>
  <si>
    <t>Om momsavdrag:</t>
  </si>
  <si>
    <t>Fullt momsavdrag får göras om hytt och lastutrymme utgör separata byggnationer. Detta omfattar t.ex. pickup och lastbilschassi med separat skåp, men ej skåpbilar/vans eller lb-registrerade personbilar.</t>
  </si>
  <si>
    <t>Vid leasing</t>
  </si>
  <si>
    <t>Om ekonomiskt värde för CO2-utsläpp</t>
  </si>
  <si>
    <t xml:space="preserve">Om det gjorts en ekonomisk värdering av koldioxidutsläpp kan denna anges här i krona per kilo CO2. Detta värde räknas inte in i totalkostnaden, utan anges endast i det gröna fältet under kostnadssummeringen. </t>
  </si>
  <si>
    <t>Boråsregionens och Fyrbodals TCO-verktyg</t>
  </si>
  <si>
    <t>Grundparametrar - fylls i för varje fordon</t>
  </si>
  <si>
    <t>Välj alternativ</t>
  </si>
  <si>
    <t>Formler och resultat - ej för justering</t>
  </si>
  <si>
    <t>Totalkostnadsanalys av inköp och ägande</t>
  </si>
  <si>
    <t>Övriga parametrar - justeras vid behov</t>
  </si>
  <si>
    <t>Alternativ 1</t>
  </si>
  <si>
    <t>Alternativ 2</t>
  </si>
  <si>
    <t>Fordon (fabrikat/modell)</t>
  </si>
  <si>
    <t>Inköpspris inkl moms</t>
  </si>
  <si>
    <t>Innehavstid</t>
  </si>
  <si>
    <t>Mil/år</t>
  </si>
  <si>
    <t>Drivmedel</t>
  </si>
  <si>
    <t>El</t>
  </si>
  <si>
    <t>Gas</t>
  </si>
  <si>
    <t>Diesel</t>
  </si>
  <si>
    <t>Bensin</t>
  </si>
  <si>
    <t>HVO100</t>
  </si>
  <si>
    <t>Avskrivning (%)</t>
  </si>
  <si>
    <t>Kalkylränta (%)</t>
  </si>
  <si>
    <t>Servicekostnad/år</t>
  </si>
  <si>
    <t>Övrigt löpande/år*</t>
  </si>
  <si>
    <t>CO2/km WLTP (0 för el)</t>
  </si>
  <si>
    <t>Förbrukning el (kWh/mil)</t>
  </si>
  <si>
    <t>Förbrukning gas (kg/mil)</t>
  </si>
  <si>
    <t>Förbrukning diesel (l/mil)</t>
  </si>
  <si>
    <t>Förbrukning bensin (l/mil)</t>
  </si>
  <si>
    <t>Förbrukning HVO100 (l/mil)</t>
  </si>
  <si>
    <t>Momsavdrag</t>
  </si>
  <si>
    <t>Inget</t>
  </si>
  <si>
    <t>Fullt</t>
  </si>
  <si>
    <t>Halvt</t>
  </si>
  <si>
    <t>Investeringsstöd (%)</t>
  </si>
  <si>
    <t>Jmf pris konventionell bil (vid elbil)</t>
  </si>
  <si>
    <t>Ekonomiskt värde per kg CO2</t>
  </si>
  <si>
    <t>Totalt</t>
  </si>
  <si>
    <t>Per år</t>
  </si>
  <si>
    <t>Ränta</t>
  </si>
  <si>
    <t>Avskrivning</t>
  </si>
  <si>
    <t>Drivmedelskostnad</t>
  </si>
  <si>
    <t>Fordonsskatt</t>
  </si>
  <si>
    <t>Servicekostnad</t>
  </si>
  <si>
    <t>Övrigt</t>
  </si>
  <si>
    <t>Totalkostnad</t>
  </si>
  <si>
    <t>kr/mil</t>
  </si>
  <si>
    <t>CO2-utsläpp under innehavstid (kg)</t>
  </si>
  <si>
    <t>Ekonomiskt värde - CO2-utsläpp (kr)</t>
  </si>
  <si>
    <t>Årsskatt År 1-3</t>
  </si>
  <si>
    <t>Årsskatt 4-</t>
  </si>
  <si>
    <t>Grundbelopp - fordonsskatt</t>
  </si>
  <si>
    <t>Bränsletillägg - diesel</t>
  </si>
  <si>
    <t>Miljötillägg - diesel</t>
  </si>
  <si>
    <t>Gaspris inkl moms (kg)</t>
  </si>
  <si>
    <t>Dieselpris (liter, inkl moms)</t>
  </si>
  <si>
    <t>Bensinpris (liter, inkl moms)</t>
  </si>
  <si>
    <t>Pris - HVO100 (liter, inkl moms)</t>
  </si>
  <si>
    <t>Kg CO2 per liter diesel (WTW)</t>
  </si>
  <si>
    <t>Kg CO2 per liter bensin (WTW)</t>
  </si>
  <si>
    <t>Kg CO2 per kg gas (WTW)</t>
  </si>
  <si>
    <t>Kg CO2 per liter HVO100 (WTW)</t>
  </si>
  <si>
    <t>Kg CO2 per kWh el (WTW)</t>
  </si>
  <si>
    <t>* Exempelvis däck, försäkring och övr förbrukningsmaterial.</t>
  </si>
  <si>
    <t>Om miljötillägg Diesel:</t>
  </si>
  <si>
    <t>Bränslekostnader</t>
  </si>
  <si>
    <t>Fast summa som läggs på fordonsskatten för dieseldrivna lätta fordon.</t>
  </si>
  <si>
    <t>Justera bränslekostnader vid behov</t>
  </si>
  <si>
    <t>Om bränsletillägg Diesel:</t>
  </si>
  <si>
    <t>Ingår som komponent av fordonsskatten för dieseldrivna lätta fordon, och varierar med emissionsvärdet för CO2.</t>
  </si>
  <si>
    <t>Om WTW (Well To Wheel):</t>
  </si>
  <si>
    <t>WTW avser koldioxidutsläppet för hela livscykeln för drivmedlet. Från utvinning och produktion till transport och förbränning.</t>
  </si>
  <si>
    <t>Leasing Alternativ 1</t>
  </si>
  <si>
    <t>Leasing Alternativ 2</t>
  </si>
  <si>
    <t>exempel elbil</t>
  </si>
  <si>
    <t>exempel diesel</t>
  </si>
  <si>
    <t>Leasingkostnad/månad inkl moms</t>
  </si>
  <si>
    <t>Leasingkostnad</t>
  </si>
  <si>
    <t xml:space="preserve">För att jämföra totalkostnaden vid leasing ange månadskostnaden inklusive moms. Välj storlek på momsavdrag, inget/halvt eller fullt i mallen. Under posten övrigt samlas kostnader för däck, försäkring, administration, besiktning och förbrukningsmaterial om de inte ingår i leasingavgiften. Fordonskatten debiteras ofta separat, och bör finnas kvar som egen post i kalkylen.  Skatten beräknas automatiskt i kalkylen utifrån angivet drivmedel och CO2/km (WLTP), så viktigt att dessa uppgifter är korrekta. </t>
  </si>
  <si>
    <t>Inköpspris exkl moms</t>
  </si>
  <si>
    <t>Volvo EX30 Elbil</t>
  </si>
  <si>
    <t>Volvo XC40  Bensin</t>
  </si>
  <si>
    <t>Genomsnitt pris under ägandeperioden</t>
  </si>
  <si>
    <t>OBS: Drivmedelspriser inkl moms</t>
  </si>
  <si>
    <t>Bränslepris år 1</t>
  </si>
  <si>
    <t>Årlig prisökning %</t>
  </si>
  <si>
    <t>Ägandetid</t>
  </si>
  <si>
    <t>Elpris inkl moms,skatt,nät,   kr/kWh</t>
  </si>
  <si>
    <t>Fyrbodals TCO-verktyg</t>
  </si>
  <si>
    <t>December 2024</t>
  </si>
  <si>
    <t>Ändra ej</t>
  </si>
  <si>
    <r>
      <t xml:space="preserve">Investeringsstöd - </t>
    </r>
    <r>
      <rPr>
        <u/>
        <sz val="16"/>
        <rFont val="Calibri"/>
        <family val="2"/>
        <scheme val="minor"/>
      </rPr>
      <t>andel av inköpspris</t>
    </r>
    <r>
      <rPr>
        <sz val="16"/>
        <rFont val="Calibri"/>
        <family val="2"/>
        <scheme val="minor"/>
      </rPr>
      <t xml:space="preserve"> (%)</t>
    </r>
  </si>
  <si>
    <r>
      <t>Stort företag, max 20% av inköp alt.</t>
    </r>
    <r>
      <rPr>
        <b/>
        <sz val="16"/>
        <rFont val="Calibri (Brödtext)"/>
      </rPr>
      <t xml:space="preserve"> </t>
    </r>
    <r>
      <rPr>
        <b/>
        <u/>
        <sz val="16"/>
        <rFont val="Calibri (Brödtext)"/>
      </rPr>
      <t>30%</t>
    </r>
    <r>
      <rPr>
        <sz val="16"/>
        <rFont val="Calibri (Brödtext)"/>
      </rPr>
      <t xml:space="preserve"> av merkostnad**</t>
    </r>
  </si>
  <si>
    <t>Skatt och vägavgift</t>
  </si>
  <si>
    <t>Genomsnitt pris</t>
  </si>
  <si>
    <t>* Exempelvis service och reparationer av påbyggnad, däck, försäkring mm</t>
  </si>
  <si>
    <t>** Enligt vägledning för Klimatpremie, Tunga lastbilar, Energimyndigheten, 2024-10-25</t>
  </si>
  <si>
    <t>Exempel elfordon</t>
  </si>
  <si>
    <t>Exempel HVO100</t>
  </si>
  <si>
    <t>Skatt 75 - 125 g/km - år 1-3</t>
  </si>
  <si>
    <t>Skatt &gt; 125 g/km - år 1-3</t>
  </si>
  <si>
    <t>Info ang Bränslepriser</t>
  </si>
  <si>
    <t>Elbil</t>
  </si>
  <si>
    <t>Bränslepriserna har stor inverkan på TCO-resultatet, särskilt när vi jämför eldrivet med övriga bränslen. på varje flik finns ett fält för att beräkna troligt genomsnittspris under ägandetiden genom att:                                                                                                 1. Ange nuvarande bränslepris år 1                                                              2. Ange årlig prisökning i %. Förinmatade värden bygger på en prognos från januari 2024 av BiodrivÖst ("Vad kostar fordonsägande egentligen"2024)                                                                                     
3: Modellen använder sedan automatiskt genomsnittliga bränslepriset i kalkylerna</t>
  </si>
  <si>
    <t>Maskin (fabrikat/modell)</t>
  </si>
  <si>
    <t>Timmar/år</t>
  </si>
  <si>
    <t>Alkylatbensin</t>
  </si>
  <si>
    <t>Förbrukning el (kWh/tim)</t>
  </si>
  <si>
    <t>Förbrukning diesel (l/tim)</t>
  </si>
  <si>
    <t>Förbrukning bensin (l/tim)</t>
  </si>
  <si>
    <t>Förbrukning alkylatbensin (l/tim)</t>
  </si>
  <si>
    <t>Förbrukning HVO100 (l/tim)</t>
  </si>
  <si>
    <r>
      <t xml:space="preserve">Max 20% av inköp alt. </t>
    </r>
    <r>
      <rPr>
        <b/>
        <u/>
        <sz val="16"/>
        <rFont val="Calibri (Brödtext)"/>
      </rPr>
      <t xml:space="preserve">50% </t>
    </r>
    <r>
      <rPr>
        <sz val="16"/>
        <rFont val="Calibri (Brödtext)"/>
      </rPr>
      <t>av merkostnad för eldriven maskin**</t>
    </r>
  </si>
  <si>
    <t>Kg CO2 per liter alkylatbensin (WTW)</t>
  </si>
  <si>
    <t>** Enligt vägledning för Klimatpremie, Miljöarbetsmaskiner, Energimyndigheten, 2024-02-13</t>
  </si>
  <si>
    <t>Kompaktlastare HVO</t>
  </si>
  <si>
    <t>Kompaktlastare EL</t>
  </si>
  <si>
    <t>Mall Bilar köp</t>
  </si>
  <si>
    <t>Mall Bilar leasing</t>
  </si>
  <si>
    <t>Exempel EL-Bensin köp</t>
  </si>
  <si>
    <t>Mall Arbetsfordon köp</t>
  </si>
  <si>
    <t>Mall Arbetsmaskin köp</t>
  </si>
  <si>
    <t>Till innehållsförteckning</t>
  </si>
  <si>
    <r>
      <rPr>
        <b/>
        <sz val="18"/>
        <rFont val="Open Sans"/>
        <family val="2"/>
      </rPr>
      <t>Ett TCO-verktyg (Total Cost of Ownership)</t>
    </r>
    <r>
      <rPr>
        <sz val="16"/>
        <rFont val="Open Sans"/>
        <family val="2"/>
      </rPr>
      <t xml:space="preserve"> </t>
    </r>
    <r>
      <rPr>
        <sz val="15"/>
        <rFont val="Open Sans"/>
        <family val="2"/>
      </rPr>
      <t xml:space="preserve">erbjuder en metod för att beräkna och analysera de totala kostnaderna för att äga och driva en produkt, tjänst eller tillgång över dess livslängd. I följande verktyg har ni som kommun möjlighet att analysera kostnaderna kring </t>
    </r>
    <r>
      <rPr>
        <b/>
        <sz val="15"/>
        <rFont val="Open Sans"/>
        <family val="2"/>
      </rPr>
      <t>Arbetsmaskiner och Bilar.</t>
    </r>
    <r>
      <rPr>
        <sz val="15"/>
        <rFont val="Open Sans"/>
        <family val="2"/>
      </rPr>
      <t xml:space="preserve"> Verktyget tar hänsyn till både direkta och indirekta kostnader, däribland inköpspris, underhållskostnader, driftskostnader, skatter, avskrivningar och eventuella framtida kostnader. Genom att använda TCO-verktyget kan ni som kommun skaffa er förutsättningar till att fatta välgrundade beslut baserade på en mer komplett bild av kostnaderna över hela livscykeln, i detta fall för </t>
    </r>
    <r>
      <rPr>
        <b/>
        <sz val="15"/>
        <rFont val="Open Sans"/>
        <family val="2"/>
      </rPr>
      <t>arbetsmaskiner och bilar som körs med fossilfria kontra fossila drivmedel</t>
    </r>
    <r>
      <rPr>
        <sz val="15"/>
        <rFont val="Open Sans"/>
        <family val="2"/>
      </rPr>
      <t xml:space="preserve">. Instruktioner om hur ni fyller i TCO-kalkylerna samt ytterligare information finns på de nästkommande excel-bladen för bilar respektive maskiner. </t>
    </r>
  </si>
  <si>
    <t>kr/tim</t>
  </si>
  <si>
    <t>Vad_kostar_fordonsagandet_2024.pdf</t>
  </si>
  <si>
    <t>Jämförelse personbilar och lätta lastbilar med olika bränslen</t>
  </si>
  <si>
    <t xml:space="preserve">Totalkostnadsanalys vid inköp och ägande av arbetsfordon och maskiner </t>
  </si>
  <si>
    <t>Ett verktyg för att jämföra maskiner med olika bränslen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</si>
</sst>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\ &quot;kr&quot;"/>
    <numFmt numFmtId="165" formatCode="0.0"/>
  </numFmts>
  <fonts count="56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b/>
      <sz val="26"/>
      <name val="Calibri"/>
      <family val="2"/>
      <scheme val="minor"/>
    </font>
    <font>
      <sz val="26"/>
      <name val="Calibri"/>
      <family val="2"/>
      <scheme val="minor"/>
    </font>
    <font>
      <b/>
      <sz val="22"/>
      <name val="Calibri"/>
      <family val="2"/>
      <scheme val="minor"/>
    </font>
    <font>
      <sz val="22"/>
      <name val="Calibri"/>
      <family val="2"/>
      <scheme val="minor"/>
    </font>
    <font>
      <b/>
      <sz val="18"/>
      <name val="Calibri"/>
      <family val="2"/>
      <scheme val="minor"/>
    </font>
    <font>
      <sz val="18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sz val="16"/>
      <color theme="0"/>
      <name val="Calibri"/>
      <family val="2"/>
      <scheme val="minor"/>
    </font>
    <font>
      <b/>
      <sz val="7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b/>
      <sz val="60"/>
      <color theme="0"/>
      <name val="Calibri"/>
      <family val="2"/>
      <scheme val="minor"/>
    </font>
    <font>
      <b/>
      <sz val="25"/>
      <color theme="0"/>
      <name val="Calibri"/>
      <family val="2"/>
      <scheme val="minor"/>
    </font>
    <font>
      <sz val="14"/>
      <name val="Calibri"/>
      <family val="2"/>
      <scheme val="minor"/>
    </font>
    <font>
      <b/>
      <sz val="16"/>
      <name val="Calibri (Brödtext)"/>
    </font>
    <font>
      <b/>
      <sz val="16"/>
      <name val="Calibri"/>
      <family val="2"/>
    </font>
    <font>
      <sz val="18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16"/>
      <color rgb="FF000000"/>
      <name val="Calibri"/>
      <family val="2"/>
      <scheme val="minor"/>
    </font>
    <font>
      <b/>
      <sz val="48"/>
      <color theme="0"/>
      <name val="Calibri"/>
      <family val="2"/>
      <scheme val="minor"/>
    </font>
    <font>
      <sz val="10"/>
      <name val="Open Sans"/>
      <family val="2"/>
    </font>
    <font>
      <b/>
      <sz val="18"/>
      <name val="Open Sans"/>
      <family val="2"/>
    </font>
    <font>
      <sz val="16"/>
      <name val="Open Sans"/>
      <family val="2"/>
    </font>
    <font>
      <sz val="15"/>
      <name val="Open Sans"/>
      <family val="2"/>
    </font>
    <font>
      <b/>
      <sz val="15"/>
      <name val="Open Sans"/>
      <family val="2"/>
    </font>
    <font>
      <sz val="16"/>
      <name val="Arial"/>
      <family val="2"/>
    </font>
    <font>
      <u/>
      <sz val="10"/>
      <color theme="10"/>
      <name val="Arial"/>
      <family val="2"/>
    </font>
    <font>
      <sz val="20"/>
      <name val="Arial"/>
      <family val="2"/>
    </font>
    <font>
      <sz val="16"/>
      <color rgb="FFFF0000"/>
      <name val="Calibri"/>
      <family val="2"/>
      <scheme val="minor"/>
    </font>
    <font>
      <b/>
      <sz val="16"/>
      <name val="Arial"/>
      <family val="2"/>
    </font>
    <font>
      <b/>
      <sz val="14"/>
      <name val="Arial"/>
      <family val="2"/>
    </font>
    <font>
      <sz val="60"/>
      <color theme="0"/>
      <name val="Calibri"/>
      <family val="2"/>
      <scheme val="minor"/>
    </font>
    <font>
      <u/>
      <sz val="16"/>
      <name val="Calibri"/>
      <family val="2"/>
      <scheme val="minor"/>
    </font>
    <font>
      <sz val="16"/>
      <name val="Calibri (Brödtext)"/>
    </font>
    <font>
      <b/>
      <u/>
      <sz val="16"/>
      <name val="Calibri (Brödtext)"/>
    </font>
    <font>
      <sz val="12"/>
      <name val="Arial"/>
      <family val="2"/>
    </font>
    <font>
      <sz val="16"/>
      <name val="Calibri"/>
      <family val="2"/>
    </font>
    <font>
      <sz val="20"/>
      <name val="Calibri"/>
      <family val="2"/>
    </font>
    <font>
      <b/>
      <sz val="26"/>
      <name val="Calibri"/>
      <family val="2"/>
    </font>
    <font>
      <sz val="26"/>
      <name val="Calibri"/>
      <family val="2"/>
    </font>
    <font>
      <sz val="16"/>
      <color theme="0"/>
      <name val="Calibri (Brödtext)"/>
    </font>
    <font>
      <sz val="16"/>
      <color theme="0"/>
      <name val="Calibri"/>
      <family val="2"/>
    </font>
    <font>
      <sz val="14"/>
      <name val="Calibri"/>
      <family val="2"/>
    </font>
    <font>
      <sz val="22"/>
      <name val="Calibri"/>
      <family val="2"/>
    </font>
    <font>
      <b/>
      <sz val="22"/>
      <name val="Calibri"/>
      <family val="2"/>
    </font>
    <font>
      <b/>
      <sz val="18"/>
      <name val="Calibri"/>
      <family val="2"/>
    </font>
    <font>
      <sz val="18"/>
      <name val="Calibri"/>
      <family val="2"/>
    </font>
    <font>
      <u/>
      <sz val="18"/>
      <color theme="10"/>
      <name val="Arial"/>
      <family val="2"/>
    </font>
    <font>
      <u/>
      <sz val="16"/>
      <color theme="10"/>
      <name val="Arial"/>
      <family val="2"/>
    </font>
    <font>
      <sz val="24"/>
      <color theme="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1991AF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C9D589"/>
        <bgColor indexed="64"/>
      </patternFill>
    </fill>
    <fill>
      <patternFill patternType="solid">
        <fgColor rgb="FF94BED0"/>
        <bgColor indexed="64"/>
      </patternFill>
    </fill>
    <fill>
      <patternFill patternType="solid">
        <fgColor rgb="FFD4E5E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7CC"/>
        <bgColor indexed="64"/>
      </patternFill>
    </fill>
    <fill>
      <patternFill patternType="solid">
        <fgColor rgb="FFFFD1BA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000"/>
        <bgColor indexed="64"/>
      </patternFill>
    </fill>
  </fills>
  <borders count="18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ck">
        <color auto="1"/>
      </top>
      <bottom/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ck">
        <color theme="1"/>
      </top>
      <bottom/>
      <diagonal/>
    </border>
    <border>
      <left/>
      <right/>
      <top style="thin">
        <color theme="1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1"/>
      </bottom>
      <diagonal/>
    </border>
  </borders>
  <cellStyleXfs count="10">
    <xf numFmtId="0" fontId="0" fillId="0" borderId="0"/>
    <xf numFmtId="0" fontId="3" fillId="0" borderId="0"/>
    <xf numFmtId="0" fontId="5" fillId="0" borderId="0"/>
    <xf numFmtId="0" fontId="2" fillId="2" borderId="1" applyNumberFormat="0" applyFont="0" applyAlignment="0" applyProtection="0"/>
    <xf numFmtId="0" fontId="4" fillId="0" borderId="0"/>
    <xf numFmtId="9" fontId="4" fillId="0" borderId="0" applyFont="0" applyFill="0" applyBorder="0" applyAlignment="0" applyProtection="0"/>
    <xf numFmtId="0" fontId="1" fillId="0" borderId="0"/>
    <xf numFmtId="0" fontId="1" fillId="0" borderId="0"/>
    <xf numFmtId="0" fontId="4" fillId="0" borderId="0"/>
    <xf numFmtId="0" fontId="32" fillId="0" borderId="0" applyNumberFormat="0" applyFill="0" applyBorder="0" applyAlignment="0" applyProtection="0"/>
  </cellStyleXfs>
  <cellXfs count="218">
    <xf numFmtId="0" fontId="0" fillId="0" borderId="0" xfId="0"/>
    <xf numFmtId="0" fontId="7" fillId="0" borderId="0" xfId="0" applyFont="1"/>
    <xf numFmtId="0" fontId="6" fillId="0" borderId="0" xfId="0" applyFont="1"/>
    <xf numFmtId="0" fontId="9" fillId="0" borderId="0" xfId="0" applyFont="1"/>
    <xf numFmtId="0" fontId="13" fillId="0" borderId="0" xfId="0" applyFont="1"/>
    <xf numFmtId="164" fontId="13" fillId="0" borderId="0" xfId="0" applyNumberFormat="1" applyFont="1"/>
    <xf numFmtId="0" fontId="14" fillId="3" borderId="0" xfId="0" applyFont="1" applyFill="1"/>
    <xf numFmtId="0" fontId="14" fillId="3" borderId="0" xfId="0" applyFont="1" applyFill="1" applyAlignment="1">
      <alignment vertical="top"/>
    </xf>
    <xf numFmtId="0" fontId="13" fillId="0" borderId="0" xfId="0" applyFont="1" applyAlignment="1">
      <alignment vertical="center"/>
    </xf>
    <xf numFmtId="0" fontId="13" fillId="3" borderId="0" xfId="0" applyFont="1" applyFill="1"/>
    <xf numFmtId="0" fontId="13" fillId="3" borderId="0" xfId="0" applyFont="1" applyFill="1" applyAlignment="1">
      <alignment vertical="top"/>
    </xf>
    <xf numFmtId="0" fontId="13" fillId="4" borderId="0" xfId="0" applyFont="1" applyFill="1"/>
    <xf numFmtId="0" fontId="14" fillId="4" borderId="0" xfId="0" applyFont="1" applyFill="1"/>
    <xf numFmtId="0" fontId="19" fillId="0" borderId="0" xfId="0" applyFont="1"/>
    <xf numFmtId="0" fontId="8" fillId="0" borderId="2" xfId="0" applyFont="1" applyBorder="1"/>
    <xf numFmtId="164" fontId="8" fillId="0" borderId="2" xfId="0" applyNumberFormat="1" applyFont="1" applyBorder="1"/>
    <xf numFmtId="0" fontId="13" fillId="0" borderId="3" xfId="0" applyFont="1" applyBorder="1"/>
    <xf numFmtId="0" fontId="13" fillId="0" borderId="5" xfId="0" applyFont="1" applyBorder="1"/>
    <xf numFmtId="0" fontId="10" fillId="5" borderId="0" xfId="0" applyFont="1" applyFill="1" applyAlignment="1">
      <alignment vertical="center"/>
    </xf>
    <xf numFmtId="0" fontId="11" fillId="0" borderId="0" xfId="0" applyFont="1" applyAlignment="1">
      <alignment vertical="center"/>
    </xf>
    <xf numFmtId="0" fontId="13" fillId="7" borderId="3" xfId="0" applyFont="1" applyFill="1" applyBorder="1"/>
    <xf numFmtId="0" fontId="13" fillId="7" borderId="8" xfId="0" applyFont="1" applyFill="1" applyBorder="1"/>
    <xf numFmtId="0" fontId="13" fillId="7" borderId="9" xfId="0" applyFont="1" applyFill="1" applyBorder="1"/>
    <xf numFmtId="0" fontId="12" fillId="6" borderId="3" xfId="0" applyFont="1" applyFill="1" applyBorder="1" applyAlignment="1">
      <alignment horizontal="left"/>
    </xf>
    <xf numFmtId="0" fontId="12" fillId="6" borderId="9" xfId="0" applyFont="1" applyFill="1" applyBorder="1" applyAlignment="1">
      <alignment horizontal="left"/>
    </xf>
    <xf numFmtId="0" fontId="19" fillId="0" borderId="0" xfId="0" applyFont="1" applyAlignment="1">
      <alignment horizontal="right"/>
    </xf>
    <xf numFmtId="0" fontId="8" fillId="8" borderId="10" xfId="0" applyFont="1" applyFill="1" applyBorder="1"/>
    <xf numFmtId="164" fontId="8" fillId="8" borderId="10" xfId="0" applyNumberFormat="1" applyFont="1" applyFill="1" applyBorder="1"/>
    <xf numFmtId="1" fontId="10" fillId="5" borderId="0" xfId="0" applyNumberFormat="1" applyFont="1" applyFill="1" applyAlignment="1">
      <alignment vertical="center"/>
    </xf>
    <xf numFmtId="164" fontId="10" fillId="5" borderId="0" xfId="0" applyNumberFormat="1" applyFont="1" applyFill="1" applyAlignment="1">
      <alignment vertical="center"/>
    </xf>
    <xf numFmtId="0" fontId="13" fillId="0" borderId="11" xfId="0" applyFont="1" applyBorder="1"/>
    <xf numFmtId="0" fontId="20" fillId="0" borderId="0" xfId="0" applyFont="1"/>
    <xf numFmtId="0" fontId="13" fillId="0" borderId="0" xfId="0" applyFont="1" applyAlignment="1">
      <alignment horizontal="right"/>
    </xf>
    <xf numFmtId="0" fontId="14" fillId="8" borderId="4" xfId="0" applyFont="1" applyFill="1" applyBorder="1"/>
    <xf numFmtId="0" fontId="14" fillId="8" borderId="7" xfId="0" applyFont="1" applyFill="1" applyBorder="1"/>
    <xf numFmtId="0" fontId="14" fillId="8" borderId="6" xfId="0" applyFont="1" applyFill="1" applyBorder="1"/>
    <xf numFmtId="0" fontId="13" fillId="9" borderId="0" xfId="0" applyFont="1" applyFill="1"/>
    <xf numFmtId="1" fontId="13" fillId="9" borderId="0" xfId="0" applyNumberFormat="1" applyFont="1" applyFill="1"/>
    <xf numFmtId="164" fontId="13" fillId="9" borderId="0" xfId="0" applyNumberFormat="1" applyFont="1" applyFill="1"/>
    <xf numFmtId="0" fontId="13" fillId="10" borderId="0" xfId="0" applyFont="1" applyFill="1"/>
    <xf numFmtId="0" fontId="13" fillId="8" borderId="8" xfId="0" applyFont="1" applyFill="1" applyBorder="1"/>
    <xf numFmtId="164" fontId="13" fillId="8" borderId="8" xfId="0" applyNumberFormat="1" applyFont="1" applyFill="1" applyBorder="1"/>
    <xf numFmtId="0" fontId="13" fillId="7" borderId="13" xfId="0" applyFont="1" applyFill="1" applyBorder="1"/>
    <xf numFmtId="0" fontId="13" fillId="7" borderId="12" xfId="0" applyFont="1" applyFill="1" applyBorder="1"/>
    <xf numFmtId="0" fontId="21" fillId="0" borderId="0" xfId="0" applyFont="1"/>
    <xf numFmtId="0" fontId="14" fillId="0" borderId="0" xfId="0" applyFont="1"/>
    <xf numFmtId="0" fontId="15" fillId="0" borderId="0" xfId="0" applyFont="1"/>
    <xf numFmtId="0" fontId="13" fillId="0" borderId="0" xfId="0" applyFont="1" applyAlignment="1">
      <alignment vertical="top"/>
    </xf>
    <xf numFmtId="0" fontId="16" fillId="0" borderId="0" xfId="0" applyFont="1" applyAlignment="1">
      <alignment vertical="top"/>
    </xf>
    <xf numFmtId="0" fontId="14" fillId="11" borderId="0" xfId="0" applyFont="1" applyFill="1"/>
    <xf numFmtId="0" fontId="18" fillId="11" borderId="0" xfId="0" applyFont="1" applyFill="1" applyAlignment="1">
      <alignment vertical="top"/>
    </xf>
    <xf numFmtId="0" fontId="14" fillId="11" borderId="0" xfId="0" applyFont="1" applyFill="1" applyAlignment="1">
      <alignment vertical="top"/>
    </xf>
    <xf numFmtId="17" fontId="23" fillId="11" borderId="0" xfId="0" quotePrefix="1" applyNumberFormat="1" applyFont="1" applyFill="1" applyAlignment="1">
      <alignment horizontal="left" vertical="center"/>
    </xf>
    <xf numFmtId="0" fontId="0" fillId="0" borderId="15" xfId="0" applyBorder="1"/>
    <xf numFmtId="0" fontId="31" fillId="0" borderId="0" xfId="0" applyFont="1"/>
    <xf numFmtId="0" fontId="9" fillId="12" borderId="0" xfId="0" applyFont="1" applyFill="1"/>
    <xf numFmtId="0" fontId="32" fillId="0" borderId="0" xfId="9"/>
    <xf numFmtId="0" fontId="33" fillId="0" borderId="0" xfId="0" applyFont="1"/>
    <xf numFmtId="0" fontId="14" fillId="8" borderId="0" xfId="0" applyFont="1" applyFill="1"/>
    <xf numFmtId="0" fontId="34" fillId="0" borderId="5" xfId="0" applyFont="1" applyBorder="1"/>
    <xf numFmtId="0" fontId="13" fillId="9" borderId="0" xfId="0" applyFont="1" applyFill="1" applyAlignment="1">
      <alignment vertical="center"/>
    </xf>
    <xf numFmtId="0" fontId="35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/>
    <xf numFmtId="0" fontId="0" fillId="0" borderId="0" xfId="0" applyAlignment="1">
      <alignment vertical="top" wrapText="1"/>
    </xf>
    <xf numFmtId="0" fontId="36" fillId="0" borderId="0" xfId="0" applyFont="1"/>
    <xf numFmtId="0" fontId="13" fillId="8" borderId="0" xfId="4" applyFont="1" applyFill="1"/>
    <xf numFmtId="0" fontId="15" fillId="8" borderId="0" xfId="4" applyFont="1" applyFill="1"/>
    <xf numFmtId="0" fontId="17" fillId="8" borderId="0" xfId="4" applyFont="1" applyFill="1" applyAlignment="1">
      <alignment horizontal="left"/>
    </xf>
    <xf numFmtId="0" fontId="14" fillId="3" borderId="0" xfId="4" applyFont="1" applyFill="1"/>
    <xf numFmtId="0" fontId="13" fillId="3" borderId="0" xfId="4" applyFont="1" applyFill="1"/>
    <xf numFmtId="0" fontId="23" fillId="3" borderId="0" xfId="4" quotePrefix="1" applyFont="1" applyFill="1" applyAlignment="1">
      <alignment horizontal="left" vertical="center"/>
    </xf>
    <xf numFmtId="0" fontId="18" fillId="8" borderId="0" xfId="4" applyFont="1" applyFill="1" applyAlignment="1">
      <alignment vertical="top"/>
    </xf>
    <xf numFmtId="0" fontId="18" fillId="3" borderId="0" xfId="4" applyFont="1" applyFill="1" applyAlignment="1">
      <alignment vertical="top"/>
    </xf>
    <xf numFmtId="0" fontId="22" fillId="8" borderId="0" xfId="4" applyFont="1" applyFill="1" applyAlignment="1">
      <alignment horizontal="left" vertical="top"/>
    </xf>
    <xf numFmtId="0" fontId="22" fillId="3" borderId="0" xfId="4" applyFont="1" applyFill="1" applyAlignment="1">
      <alignment horizontal="left" vertical="top"/>
    </xf>
    <xf numFmtId="0" fontId="13" fillId="8" borderId="0" xfId="4" applyFont="1" applyFill="1" applyAlignment="1">
      <alignment vertical="top"/>
    </xf>
    <xf numFmtId="0" fontId="16" fillId="8" borderId="0" xfId="4" applyFont="1" applyFill="1" applyAlignment="1">
      <alignment vertical="top"/>
    </xf>
    <xf numFmtId="0" fontId="14" fillId="3" borderId="0" xfId="4" applyFont="1" applyFill="1" applyAlignment="1">
      <alignment vertical="top"/>
    </xf>
    <xf numFmtId="0" fontId="13" fillId="3" borderId="0" xfId="4" applyFont="1" applyFill="1" applyAlignment="1">
      <alignment vertical="top"/>
    </xf>
    <xf numFmtId="0" fontId="13" fillId="0" borderId="0" xfId="4" applyFont="1"/>
    <xf numFmtId="0" fontId="7" fillId="0" borderId="0" xfId="4" applyFont="1"/>
    <xf numFmtId="0" fontId="6" fillId="0" borderId="0" xfId="4" applyFont="1"/>
    <xf numFmtId="0" fontId="13" fillId="0" borderId="3" xfId="4" applyFont="1" applyBorder="1"/>
    <xf numFmtId="0" fontId="13" fillId="7" borderId="8" xfId="4" applyFont="1" applyFill="1" applyBorder="1"/>
    <xf numFmtId="0" fontId="13" fillId="0" borderId="5" xfId="4" applyFont="1" applyBorder="1"/>
    <xf numFmtId="0" fontId="13" fillId="7" borderId="3" xfId="4" applyFont="1" applyFill="1" applyBorder="1"/>
    <xf numFmtId="0" fontId="14" fillId="8" borderId="4" xfId="4" applyFont="1" applyFill="1" applyBorder="1"/>
    <xf numFmtId="0" fontId="13" fillId="4" borderId="0" xfId="4" applyFont="1" applyFill="1"/>
    <xf numFmtId="0" fontId="13" fillId="7" borderId="12" xfId="4" applyFont="1" applyFill="1" applyBorder="1"/>
    <xf numFmtId="0" fontId="14" fillId="8" borderId="6" xfId="4" applyFont="1" applyFill="1" applyBorder="1"/>
    <xf numFmtId="0" fontId="13" fillId="8" borderId="8" xfId="4" applyFont="1" applyFill="1" applyBorder="1"/>
    <xf numFmtId="0" fontId="13" fillId="7" borderId="13" xfId="4" applyFont="1" applyFill="1" applyBorder="1"/>
    <xf numFmtId="0" fontId="14" fillId="8" borderId="7" xfId="4" applyFont="1" applyFill="1" applyBorder="1"/>
    <xf numFmtId="0" fontId="13" fillId="7" borderId="9" xfId="4" applyFont="1" applyFill="1" applyBorder="1"/>
    <xf numFmtId="164" fontId="13" fillId="8" borderId="8" xfId="4" applyNumberFormat="1" applyFont="1" applyFill="1" applyBorder="1"/>
    <xf numFmtId="0" fontId="12" fillId="6" borderId="3" xfId="4" applyFont="1" applyFill="1" applyBorder="1" applyAlignment="1">
      <alignment horizontal="left"/>
    </xf>
    <xf numFmtId="0" fontId="14" fillId="4" borderId="0" xfId="4" applyFont="1" applyFill="1"/>
    <xf numFmtId="0" fontId="12" fillId="6" borderId="9" xfId="4" applyFont="1" applyFill="1" applyBorder="1" applyAlignment="1">
      <alignment horizontal="left"/>
    </xf>
    <xf numFmtId="0" fontId="12" fillId="12" borderId="3" xfId="4" applyFont="1" applyFill="1" applyBorder="1" applyAlignment="1">
      <alignment horizontal="left"/>
    </xf>
    <xf numFmtId="0" fontId="12" fillId="12" borderId="6" xfId="4" applyFont="1" applyFill="1" applyBorder="1"/>
    <xf numFmtId="0" fontId="12" fillId="12" borderId="9" xfId="4" applyFont="1" applyFill="1" applyBorder="1" applyAlignment="1">
      <alignment horizontal="left"/>
    </xf>
    <xf numFmtId="0" fontId="39" fillId="8" borderId="6" xfId="4" applyFont="1" applyFill="1" applyBorder="1"/>
    <xf numFmtId="0" fontId="14" fillId="0" borderId="0" xfId="4" applyFont="1"/>
    <xf numFmtId="0" fontId="13" fillId="0" borderId="0" xfId="4" applyFont="1" applyAlignment="1">
      <alignment horizontal="right"/>
    </xf>
    <xf numFmtId="0" fontId="19" fillId="0" borderId="0" xfId="4" applyFont="1" applyAlignment="1">
      <alignment horizontal="right"/>
    </xf>
    <xf numFmtId="1" fontId="13" fillId="9" borderId="0" xfId="4" applyNumberFormat="1" applyFont="1" applyFill="1"/>
    <xf numFmtId="164" fontId="13" fillId="9" borderId="0" xfId="4" applyNumberFormat="1" applyFont="1" applyFill="1"/>
    <xf numFmtId="0" fontId="13" fillId="9" borderId="0" xfId="4" applyFont="1" applyFill="1"/>
    <xf numFmtId="164" fontId="13" fillId="0" borderId="0" xfId="4" applyNumberFormat="1" applyFont="1"/>
    <xf numFmtId="0" fontId="8" fillId="0" borderId="2" xfId="4" applyFont="1" applyBorder="1"/>
    <xf numFmtId="164" fontId="8" fillId="0" borderId="2" xfId="4" applyNumberFormat="1" applyFont="1" applyBorder="1"/>
    <xf numFmtId="0" fontId="9" fillId="0" borderId="0" xfId="4" applyFont="1"/>
    <xf numFmtId="0" fontId="8" fillId="8" borderId="10" xfId="4" applyFont="1" applyFill="1" applyBorder="1"/>
    <xf numFmtId="164" fontId="8" fillId="8" borderId="10" xfId="4" applyNumberFormat="1" applyFont="1" applyFill="1" applyBorder="1"/>
    <xf numFmtId="0" fontId="10" fillId="5" borderId="0" xfId="4" applyFont="1" applyFill="1" applyAlignment="1">
      <alignment vertical="center"/>
    </xf>
    <xf numFmtId="1" fontId="10" fillId="5" borderId="0" xfId="4" applyNumberFormat="1" applyFont="1" applyFill="1" applyAlignment="1">
      <alignment vertical="center"/>
    </xf>
    <xf numFmtId="0" fontId="11" fillId="0" borderId="0" xfId="4" applyFont="1" applyAlignment="1">
      <alignment vertical="center"/>
    </xf>
    <xf numFmtId="0" fontId="13" fillId="0" borderId="0" xfId="4" applyFont="1" applyAlignment="1">
      <alignment vertical="center"/>
    </xf>
    <xf numFmtId="164" fontId="10" fillId="5" borderId="0" xfId="4" applyNumberFormat="1" applyFont="1" applyFill="1" applyAlignment="1">
      <alignment vertical="center"/>
    </xf>
    <xf numFmtId="0" fontId="10" fillId="0" borderId="0" xfId="4" applyFont="1"/>
    <xf numFmtId="0" fontId="11" fillId="0" borderId="0" xfId="4" applyFont="1"/>
    <xf numFmtId="0" fontId="12" fillId="0" borderId="0" xfId="4" applyFont="1"/>
    <xf numFmtId="0" fontId="13" fillId="7" borderId="0" xfId="4" applyFont="1" applyFill="1"/>
    <xf numFmtId="0" fontId="13" fillId="10" borderId="0" xfId="4" applyFont="1" applyFill="1"/>
    <xf numFmtId="0" fontId="13" fillId="0" borderId="11" xfId="4" applyFont="1" applyBorder="1"/>
    <xf numFmtId="0" fontId="20" fillId="0" borderId="0" xfId="4" applyFont="1"/>
    <xf numFmtId="0" fontId="13" fillId="0" borderId="0" xfId="4" applyFont="1" applyAlignment="1">
      <alignment horizontal="left" vertical="top" wrapText="1"/>
    </xf>
    <xf numFmtId="0" fontId="21" fillId="0" borderId="0" xfId="4" applyFont="1"/>
    <xf numFmtId="0" fontId="24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top" wrapText="1"/>
    </xf>
    <xf numFmtId="0" fontId="35" fillId="8" borderId="0" xfId="9" applyFont="1" applyFill="1" applyAlignment="1">
      <alignment vertical="top"/>
    </xf>
    <xf numFmtId="165" fontId="13" fillId="8" borderId="0" xfId="0" applyNumberFormat="1" applyFont="1" applyFill="1"/>
    <xf numFmtId="0" fontId="0" fillId="8" borderId="0" xfId="0" applyFill="1" applyAlignment="1">
      <alignment vertical="top" wrapText="1"/>
    </xf>
    <xf numFmtId="0" fontId="13" fillId="8" borderId="0" xfId="0" applyFont="1" applyFill="1"/>
    <xf numFmtId="165" fontId="13" fillId="9" borderId="0" xfId="4" applyNumberFormat="1" applyFont="1" applyFill="1"/>
    <xf numFmtId="165" fontId="13" fillId="0" borderId="0" xfId="0" applyNumberFormat="1" applyFont="1"/>
    <xf numFmtId="0" fontId="15" fillId="8" borderId="0" xfId="0" applyFont="1" applyFill="1"/>
    <xf numFmtId="0" fontId="17" fillId="8" borderId="0" xfId="0" applyFont="1" applyFill="1" applyAlignment="1">
      <alignment horizontal="left"/>
    </xf>
    <xf numFmtId="0" fontId="23" fillId="3" borderId="0" xfId="0" quotePrefix="1" applyFont="1" applyFill="1" applyAlignment="1">
      <alignment horizontal="left" vertical="center"/>
    </xf>
    <xf numFmtId="0" fontId="18" fillId="8" borderId="0" xfId="0" applyFont="1" applyFill="1" applyAlignment="1">
      <alignment vertical="top"/>
    </xf>
    <xf numFmtId="0" fontId="18" fillId="3" borderId="0" xfId="0" applyFont="1" applyFill="1" applyAlignment="1">
      <alignment vertical="top"/>
    </xf>
    <xf numFmtId="0" fontId="22" fillId="8" borderId="0" xfId="0" applyFont="1" applyFill="1" applyAlignment="1">
      <alignment horizontal="left" vertical="top"/>
    </xf>
    <xf numFmtId="0" fontId="22" fillId="3" borderId="0" xfId="0" applyFont="1" applyFill="1" applyAlignment="1">
      <alignment horizontal="left" vertical="top"/>
    </xf>
    <xf numFmtId="0" fontId="13" fillId="8" borderId="0" xfId="0" applyFont="1" applyFill="1" applyAlignment="1">
      <alignment vertical="top"/>
    </xf>
    <xf numFmtId="0" fontId="16" fillId="8" borderId="0" xfId="0" applyFont="1" applyFill="1" applyAlignment="1">
      <alignment vertical="top"/>
    </xf>
    <xf numFmtId="0" fontId="42" fillId="0" borderId="0" xfId="0" applyFont="1"/>
    <xf numFmtId="0" fontId="43" fillId="0" borderId="0" xfId="0" applyFont="1"/>
    <xf numFmtId="0" fontId="44" fillId="0" borderId="0" xfId="0" applyFont="1"/>
    <xf numFmtId="0" fontId="45" fillId="0" borderId="0" xfId="0" applyFont="1"/>
    <xf numFmtId="0" fontId="42" fillId="8" borderId="0" xfId="0" applyFont="1" applyFill="1"/>
    <xf numFmtId="0" fontId="46" fillId="8" borderId="0" xfId="0" applyFont="1" applyFill="1"/>
    <xf numFmtId="0" fontId="42" fillId="7" borderId="9" xfId="0" applyFont="1" applyFill="1" applyBorder="1"/>
    <xf numFmtId="0" fontId="46" fillId="8" borderId="6" xfId="0" applyFont="1" applyFill="1" applyBorder="1"/>
    <xf numFmtId="0" fontId="47" fillId="8" borderId="0" xfId="0" applyFont="1" applyFill="1"/>
    <xf numFmtId="164" fontId="42" fillId="8" borderId="0" xfId="0" applyNumberFormat="1" applyFont="1" applyFill="1"/>
    <xf numFmtId="0" fontId="21" fillId="6" borderId="9" xfId="0" applyFont="1" applyFill="1" applyBorder="1" applyAlignment="1">
      <alignment horizontal="left" vertical="top"/>
    </xf>
    <xf numFmtId="1" fontId="42" fillId="7" borderId="9" xfId="0" applyNumberFormat="1" applyFont="1" applyFill="1" applyBorder="1"/>
    <xf numFmtId="0" fontId="42" fillId="7" borderId="12" xfId="0" applyFont="1" applyFill="1" applyBorder="1"/>
    <xf numFmtId="0" fontId="39" fillId="8" borderId="6" xfId="0" applyFont="1" applyFill="1" applyBorder="1"/>
    <xf numFmtId="0" fontId="13" fillId="7" borderId="0" xfId="0" applyFont="1" applyFill="1"/>
    <xf numFmtId="165" fontId="13" fillId="9" borderId="0" xfId="0" applyNumberFormat="1" applyFont="1" applyFill="1"/>
    <xf numFmtId="0" fontId="48" fillId="0" borderId="0" xfId="0" applyFont="1" applyAlignment="1">
      <alignment horizontal="right"/>
    </xf>
    <xf numFmtId="1" fontId="42" fillId="9" borderId="0" xfId="0" applyNumberFormat="1" applyFont="1" applyFill="1"/>
    <xf numFmtId="0" fontId="42" fillId="9" borderId="0" xfId="0" applyFont="1" applyFill="1"/>
    <xf numFmtId="0" fontId="42" fillId="0" borderId="17" xfId="0" applyFont="1" applyBorder="1"/>
    <xf numFmtId="0" fontId="49" fillId="0" borderId="0" xfId="0" applyFont="1"/>
    <xf numFmtId="0" fontId="50" fillId="8" borderId="10" xfId="0" applyFont="1" applyFill="1" applyBorder="1"/>
    <xf numFmtId="164" fontId="50" fillId="8" borderId="10" xfId="0" applyNumberFormat="1" applyFont="1" applyFill="1" applyBorder="1"/>
    <xf numFmtId="0" fontId="50" fillId="8" borderId="3" xfId="0" applyFont="1" applyFill="1" applyBorder="1"/>
    <xf numFmtId="164" fontId="50" fillId="8" borderId="3" xfId="0" applyNumberFormat="1" applyFont="1" applyFill="1" applyBorder="1"/>
    <xf numFmtId="0" fontId="51" fillId="5" borderId="0" xfId="0" applyFont="1" applyFill="1"/>
    <xf numFmtId="1" fontId="51" fillId="5" borderId="0" xfId="0" applyNumberFormat="1" applyFont="1" applyFill="1"/>
    <xf numFmtId="0" fontId="52" fillId="0" borderId="0" xfId="0" applyFont="1"/>
    <xf numFmtId="164" fontId="51" fillId="5" borderId="0" xfId="0" applyNumberFormat="1" applyFont="1" applyFill="1"/>
    <xf numFmtId="0" fontId="42" fillId="10" borderId="0" xfId="0" applyFont="1" applyFill="1"/>
    <xf numFmtId="0" fontId="42" fillId="0" borderId="11" xfId="0" applyFont="1" applyBorder="1"/>
    <xf numFmtId="0" fontId="53" fillId="0" borderId="0" xfId="9" applyFont="1"/>
    <xf numFmtId="0" fontId="54" fillId="0" borderId="0" xfId="9" applyFont="1"/>
    <xf numFmtId="0" fontId="55" fillId="3" borderId="0" xfId="0" applyFont="1" applyFill="1" applyAlignment="1">
      <alignment horizontal="left" vertical="top"/>
    </xf>
    <xf numFmtId="0" fontId="12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26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0" fillId="0" borderId="15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6" xfId="0" applyBorder="1" applyAlignment="1">
      <alignment horizontal="center"/>
    </xf>
    <xf numFmtId="0" fontId="0" fillId="0" borderId="14" xfId="0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49" fontId="41" fillId="0" borderId="0" xfId="0" applyNumberFormat="1" applyFont="1" applyAlignment="1">
      <alignment horizontal="left" vertical="top" wrapText="1" readingOrder="1"/>
    </xf>
    <xf numFmtId="49" fontId="0" fillId="0" borderId="0" xfId="0" applyNumberFormat="1" applyAlignment="1">
      <alignment horizontal="left" vertical="top" wrapText="1" readingOrder="1"/>
    </xf>
    <xf numFmtId="0" fontId="24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top" wrapText="1"/>
    </xf>
    <xf numFmtId="0" fontId="25" fillId="11" borderId="0" xfId="0" applyFont="1" applyFill="1" applyAlignment="1">
      <alignment horizontal="left"/>
    </xf>
    <xf numFmtId="0" fontId="17" fillId="11" borderId="0" xfId="0" applyFont="1" applyFill="1" applyAlignment="1">
      <alignment horizontal="left"/>
    </xf>
    <xf numFmtId="0" fontId="13" fillId="7" borderId="0" xfId="0" applyFont="1" applyFill="1" applyAlignment="1">
      <alignment vertical="center"/>
    </xf>
    <xf numFmtId="0" fontId="13" fillId="6" borderId="0" xfId="0" applyFont="1" applyFill="1" applyAlignment="1">
      <alignment vertical="center"/>
    </xf>
    <xf numFmtId="0" fontId="18" fillId="11" borderId="0" xfId="0" applyFont="1" applyFill="1" applyAlignment="1">
      <alignment vertical="top"/>
    </xf>
    <xf numFmtId="164" fontId="13" fillId="9" borderId="0" xfId="0" applyNumberFormat="1" applyFont="1" applyFill="1" applyAlignment="1">
      <alignment vertical="center"/>
    </xf>
    <xf numFmtId="0" fontId="22" fillId="11" borderId="0" xfId="0" applyFont="1" applyFill="1" applyAlignment="1">
      <alignment horizontal="left" vertical="top"/>
    </xf>
    <xf numFmtId="0" fontId="13" fillId="10" borderId="0" xfId="0" applyFont="1" applyFill="1" applyAlignment="1">
      <alignment vertical="center"/>
    </xf>
    <xf numFmtId="0" fontId="12" fillId="0" borderId="0" xfId="4" applyFont="1" applyAlignment="1">
      <alignment vertical="top" wrapText="1"/>
    </xf>
    <xf numFmtId="0" fontId="4" fillId="0" borderId="0" xfId="4" applyAlignment="1">
      <alignment vertical="top" wrapText="1"/>
    </xf>
    <xf numFmtId="0" fontId="13" fillId="0" borderId="0" xfId="4" applyFont="1"/>
    <xf numFmtId="0" fontId="4" fillId="0" borderId="0" xfId="4"/>
    <xf numFmtId="0" fontId="13" fillId="0" borderId="0" xfId="4" applyFont="1" applyAlignment="1">
      <alignment horizontal="left" vertical="top" wrapText="1"/>
    </xf>
    <xf numFmtId="0" fontId="24" fillId="0" borderId="0" xfId="4" applyFont="1" applyAlignment="1">
      <alignment horizontal="left" vertical="top" wrapText="1"/>
    </xf>
    <xf numFmtId="0" fontId="37" fillId="3" borderId="0" xfId="4" applyFont="1" applyFill="1" applyAlignment="1">
      <alignment horizontal="left"/>
    </xf>
    <xf numFmtId="0" fontId="4" fillId="0" borderId="0" xfId="4" applyAlignment="1">
      <alignment horizontal="left"/>
    </xf>
    <xf numFmtId="0" fontId="13" fillId="7" borderId="0" xfId="4" applyFont="1" applyFill="1" applyAlignment="1">
      <alignment vertical="center"/>
    </xf>
    <xf numFmtId="0" fontId="13" fillId="6" borderId="0" xfId="4" applyFont="1" applyFill="1" applyAlignment="1">
      <alignment vertical="center"/>
    </xf>
    <xf numFmtId="164" fontId="13" fillId="9" borderId="0" xfId="4" applyNumberFormat="1" applyFont="1" applyFill="1" applyAlignment="1">
      <alignment vertical="center"/>
    </xf>
    <xf numFmtId="0" fontId="13" fillId="10" borderId="0" xfId="4" applyFont="1" applyFill="1" applyAlignment="1">
      <alignment vertical="center"/>
    </xf>
    <xf numFmtId="0" fontId="12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37" fillId="3" borderId="0" xfId="0" applyFont="1" applyFill="1" applyAlignment="1">
      <alignment horizontal="left"/>
    </xf>
    <xf numFmtId="0" fontId="0" fillId="0" borderId="0" xfId="0" applyAlignment="1">
      <alignment horizontal="left"/>
    </xf>
  </cellXfs>
  <cellStyles count="10">
    <cellStyle name="Anteckning 2" xfId="3" xr:uid="{9D49FC35-B39B-4237-8436-F9C2E02F182A}"/>
    <cellStyle name="Hyperlänk" xfId="9" builtinId="8"/>
    <cellStyle name="Normal" xfId="0" builtinId="0"/>
    <cellStyle name="Normal 2" xfId="1" xr:uid="{F71C365F-5299-4327-998E-9AA6EC103E5E}"/>
    <cellStyle name="Normal 2 2" xfId="4" xr:uid="{E34D6F45-5C10-48F7-8A5A-5C97A578A5E9}"/>
    <cellStyle name="Normal 2 3" xfId="6" xr:uid="{F71C365F-5299-4327-998E-9AA6EC103E5E}"/>
    <cellStyle name="Normal 3" xfId="2" xr:uid="{00000000-0005-0000-0000-000030000000}"/>
    <cellStyle name="Normal 3 2" xfId="8" xr:uid="{8AAD6198-674C-4727-8D46-00F30127B160}"/>
    <cellStyle name="Normal 4" xfId="7" xr:uid="{3DC4F82F-0F87-4771-8308-998D5B1AC315}"/>
    <cellStyle name="Procent 2" xfId="5" xr:uid="{1F704DC3-1619-4D4E-8587-727E131F88CF}"/>
  </cellStyles>
  <dxfs count="0"/>
  <tableStyles count="0" defaultTableStyle="TableStyleMedium2" defaultPivotStyle="PivotStyleLight16"/>
  <colors>
    <mruColors>
      <color rgb="FFFFF7CC"/>
      <color rgb="FFD4E5EC"/>
      <color rgb="FF94BED0"/>
      <color rgb="FF1991AF"/>
      <color rgb="FFFFD1BA"/>
      <color rgb="FFFDE6CB"/>
      <color rgb="FFC9D589"/>
      <color rgb="FFE4EFF3"/>
      <color rgb="FFCADFE8"/>
      <color rgb="FF98B81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7" Type="http://schemas.openxmlformats.org/officeDocument/2006/relationships/image" Target="../media/image6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6" Type="http://schemas.microsoft.com/office/2007/relationships/hdphoto" Target="../media/hdphoto1.wdp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7" Type="http://schemas.openxmlformats.org/officeDocument/2006/relationships/image" Target="../media/image4.png"/><Relationship Id="rId2" Type="http://schemas.microsoft.com/office/2007/relationships/hdphoto" Target="../media/hdphoto1.wdp"/><Relationship Id="rId1" Type="http://schemas.openxmlformats.org/officeDocument/2006/relationships/image" Target="../media/image5.png"/><Relationship Id="rId6" Type="http://schemas.openxmlformats.org/officeDocument/2006/relationships/image" Target="../media/image3.jpeg"/><Relationship Id="rId5" Type="http://schemas.openxmlformats.org/officeDocument/2006/relationships/image" Target="../media/image2.jpeg"/><Relationship Id="rId4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png"/><Relationship Id="rId3" Type="http://schemas.openxmlformats.org/officeDocument/2006/relationships/image" Target="../media/image6.png"/><Relationship Id="rId7" Type="http://schemas.openxmlformats.org/officeDocument/2006/relationships/image" Target="../media/image4.png"/><Relationship Id="rId2" Type="http://schemas.microsoft.com/office/2007/relationships/hdphoto" Target="../media/hdphoto1.wdp"/><Relationship Id="rId1" Type="http://schemas.openxmlformats.org/officeDocument/2006/relationships/image" Target="../media/image5.png"/><Relationship Id="rId6" Type="http://schemas.openxmlformats.org/officeDocument/2006/relationships/image" Target="../media/image3.jpeg"/><Relationship Id="rId5" Type="http://schemas.openxmlformats.org/officeDocument/2006/relationships/image" Target="../media/image2.jpeg"/><Relationship Id="rId4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7" Type="http://schemas.openxmlformats.org/officeDocument/2006/relationships/image" Target="../media/image4.png"/><Relationship Id="rId2" Type="http://schemas.microsoft.com/office/2007/relationships/hdphoto" Target="../media/hdphoto1.wdp"/><Relationship Id="rId1" Type="http://schemas.openxmlformats.org/officeDocument/2006/relationships/image" Target="../media/image5.png"/><Relationship Id="rId6" Type="http://schemas.openxmlformats.org/officeDocument/2006/relationships/image" Target="../media/image3.jpeg"/><Relationship Id="rId5" Type="http://schemas.openxmlformats.org/officeDocument/2006/relationships/image" Target="../media/image2.jpeg"/><Relationship Id="rId4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7" Type="http://schemas.openxmlformats.org/officeDocument/2006/relationships/image" Target="../media/image4.png"/><Relationship Id="rId2" Type="http://schemas.microsoft.com/office/2007/relationships/hdphoto" Target="../media/hdphoto1.wdp"/><Relationship Id="rId1" Type="http://schemas.openxmlformats.org/officeDocument/2006/relationships/image" Target="../media/image5.png"/><Relationship Id="rId6" Type="http://schemas.openxmlformats.org/officeDocument/2006/relationships/image" Target="../media/image3.jpeg"/><Relationship Id="rId5" Type="http://schemas.openxmlformats.org/officeDocument/2006/relationships/image" Target="../media/image2.jpeg"/><Relationship Id="rId4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8" Type="http://schemas.microsoft.com/office/2007/relationships/hdphoto" Target="../media/hdphoto1.wdp"/><Relationship Id="rId3" Type="http://schemas.openxmlformats.org/officeDocument/2006/relationships/image" Target="../media/image2.jpeg"/><Relationship Id="rId7" Type="http://schemas.openxmlformats.org/officeDocument/2006/relationships/image" Target="../media/image5.png"/><Relationship Id="rId2" Type="http://schemas.openxmlformats.org/officeDocument/2006/relationships/image" Target="../media/image1.png"/><Relationship Id="rId1" Type="http://schemas.openxmlformats.org/officeDocument/2006/relationships/image" Target="../media/image6.png"/><Relationship Id="rId6" Type="http://schemas.openxmlformats.org/officeDocument/2006/relationships/image" Target="../media/image7.png"/><Relationship Id="rId5" Type="http://schemas.openxmlformats.org/officeDocument/2006/relationships/image" Target="../media/image4.png"/><Relationship Id="rId4" Type="http://schemas.openxmlformats.org/officeDocument/2006/relationships/image" Target="../media/image3.jpeg"/></Relationships>
</file>

<file path=xl/drawings/_rels/drawing7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png"/><Relationship Id="rId3" Type="http://schemas.microsoft.com/office/2007/relationships/hdphoto" Target="../media/hdphoto1.wdp"/><Relationship Id="rId7" Type="http://schemas.openxmlformats.org/officeDocument/2006/relationships/image" Target="../media/image4.png"/><Relationship Id="rId2" Type="http://schemas.openxmlformats.org/officeDocument/2006/relationships/image" Target="../media/image5.png"/><Relationship Id="rId1" Type="http://schemas.openxmlformats.org/officeDocument/2006/relationships/image" Target="../media/image6.png"/><Relationship Id="rId6" Type="http://schemas.openxmlformats.org/officeDocument/2006/relationships/image" Target="../media/image3.jpeg"/><Relationship Id="rId5" Type="http://schemas.openxmlformats.org/officeDocument/2006/relationships/image" Target="../media/image2.jpeg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126996</xdr:colOff>
      <xdr:row>13</xdr:row>
      <xdr:rowOff>95255</xdr:rowOff>
    </xdr:from>
    <xdr:to>
      <xdr:col>28</xdr:col>
      <xdr:colOff>222244</xdr:colOff>
      <xdr:row>23</xdr:row>
      <xdr:rowOff>29656</xdr:rowOff>
    </xdr:to>
    <xdr:grpSp>
      <xdr:nvGrpSpPr>
        <xdr:cNvPr id="7" name="Grupp 6">
          <a:extLst>
            <a:ext uri="{FF2B5EF4-FFF2-40B4-BE49-F238E27FC236}">
              <a16:creationId xmlns:a16="http://schemas.microsoft.com/office/drawing/2014/main" id="{660CB6A2-8750-4447-B6DD-EC0A5B088A05}"/>
            </a:ext>
          </a:extLst>
        </xdr:cNvPr>
        <xdr:cNvGrpSpPr/>
      </xdr:nvGrpSpPr>
      <xdr:grpSpPr>
        <a:xfrm>
          <a:off x="126996" y="2324105"/>
          <a:ext cx="20250148" cy="1648901"/>
          <a:chOff x="126996" y="2196528"/>
          <a:chExt cx="17228703" cy="1550764"/>
        </a:xfrm>
      </xdr:grpSpPr>
      <xdr:pic>
        <xdr:nvPicPr>
          <xdr:cNvPr id="2" name="Bildobjekt 1">
            <a:extLst>
              <a:ext uri="{FF2B5EF4-FFF2-40B4-BE49-F238E27FC236}">
                <a16:creationId xmlns:a16="http://schemas.microsoft.com/office/drawing/2014/main" id="{58DE9D86-AB14-490A-AF64-6E707D29F27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5261697" y="2498629"/>
            <a:ext cx="4431311" cy="869854"/>
          </a:xfrm>
          <a:prstGeom prst="rect">
            <a:avLst/>
          </a:prstGeom>
        </xdr:spPr>
      </xdr:pic>
      <xdr:pic>
        <xdr:nvPicPr>
          <xdr:cNvPr id="3" name="Bildobjekt 2" descr="En bild som visar ritning&#10;&#10;Automatiskt genererad beskrivning">
            <a:extLst>
              <a:ext uri="{FF2B5EF4-FFF2-40B4-BE49-F238E27FC236}">
                <a16:creationId xmlns:a16="http://schemas.microsoft.com/office/drawing/2014/main" id="{A463DC7D-C36A-4FAF-8FA4-919C511299F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</a:blip>
          <a:stretch>
            <a:fillRect/>
          </a:stretch>
        </xdr:blipFill>
        <xdr:spPr>
          <a:xfrm>
            <a:off x="9958016" y="2326409"/>
            <a:ext cx="4456314" cy="1089388"/>
          </a:xfrm>
          <a:prstGeom prst="rect">
            <a:avLst/>
          </a:prstGeom>
        </xdr:spPr>
      </xdr:pic>
      <xdr:pic>
        <xdr:nvPicPr>
          <xdr:cNvPr id="4" name="Picture 2">
            <a:extLst>
              <a:ext uri="{FF2B5EF4-FFF2-40B4-BE49-F238E27FC236}">
                <a16:creationId xmlns:a16="http://schemas.microsoft.com/office/drawing/2014/main" id="{98960543-6621-4814-B2EE-085491231D3F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clrChange>
              <a:clrFrom>
                <a:srgbClr val="FEFEFE"/>
              </a:clrFrom>
              <a:clrTo>
                <a:srgbClr val="FEFEFE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751572" y="2488869"/>
            <a:ext cx="2604127" cy="91660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6" name="Bildobjekt 5" descr="En bild som visar text, skärmbild, Teckensnitt, Electric blue&#10;&#10;Automatiskt genererad beskrivning">
            <a:extLst>
              <a:ext uri="{FF2B5EF4-FFF2-40B4-BE49-F238E27FC236}">
                <a16:creationId xmlns:a16="http://schemas.microsoft.com/office/drawing/2014/main" id="{A252A309-FB5F-48E0-BCED-8CFE69014D1A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4"/>
          <a:srcRect r="3712"/>
          <a:stretch/>
        </xdr:blipFill>
        <xdr:spPr>
          <a:xfrm>
            <a:off x="126996" y="2196528"/>
            <a:ext cx="4960031" cy="1550764"/>
          </a:xfrm>
          <a:prstGeom prst="rect">
            <a:avLst/>
          </a:prstGeom>
        </xdr:spPr>
      </xdr:pic>
    </xdr:grpSp>
    <xdr:clientData/>
  </xdr:twoCellAnchor>
  <xdr:twoCellAnchor>
    <xdr:from>
      <xdr:col>20</xdr:col>
      <xdr:colOff>57729</xdr:colOff>
      <xdr:row>1</xdr:row>
      <xdr:rowOff>103907</xdr:rowOff>
    </xdr:from>
    <xdr:to>
      <xdr:col>26</xdr:col>
      <xdr:colOff>516031</xdr:colOff>
      <xdr:row>10</xdr:row>
      <xdr:rowOff>61380</xdr:rowOff>
    </xdr:to>
    <xdr:grpSp>
      <xdr:nvGrpSpPr>
        <xdr:cNvPr id="8" name="Grupp 7">
          <a:extLst>
            <a:ext uri="{FF2B5EF4-FFF2-40B4-BE49-F238E27FC236}">
              <a16:creationId xmlns:a16="http://schemas.microsoft.com/office/drawing/2014/main" id="{9D9945EF-422A-44F3-966F-444A82B241F5}"/>
            </a:ext>
          </a:extLst>
        </xdr:cNvPr>
        <xdr:cNvGrpSpPr/>
      </xdr:nvGrpSpPr>
      <xdr:grpSpPr>
        <a:xfrm>
          <a:off x="15335829" y="275357"/>
          <a:ext cx="4115902" cy="1500523"/>
          <a:chOff x="54441" y="474698"/>
          <a:chExt cx="4128767" cy="1401728"/>
        </a:xfrm>
      </xdr:grpSpPr>
      <xdr:pic>
        <xdr:nvPicPr>
          <xdr:cNvPr id="9" name="Bildobjekt 8">
            <a:extLst>
              <a:ext uri="{FF2B5EF4-FFF2-40B4-BE49-F238E27FC236}">
                <a16:creationId xmlns:a16="http://schemas.microsoft.com/office/drawing/2014/main" id="{C340EC42-2E3E-4BFF-B597-E3D84495F0DE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 cstate="print">
            <a:clrChange>
              <a:clrFrom>
                <a:srgbClr val="FAFFFF"/>
              </a:clrFrom>
              <a:clrTo>
                <a:srgbClr val="FAFFFF">
                  <a:alpha val="0"/>
                </a:srgbClr>
              </a:clrTo>
            </a:clrChange>
            <a:extLst>
              <a:ext uri="{BEBA8EAE-BF5A-486C-A8C5-ECC9F3942E4B}">
                <a14:imgProps xmlns:a14="http://schemas.microsoft.com/office/drawing/2010/main">
                  <a14:imgLayer r:embed="rId6">
                    <a14:imgEffect>
                      <a14:colorTemperature colorTemp="5900"/>
                    </a14:imgEffect>
                  </a14:imgLayer>
                </a14:imgProps>
              </a:ex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600201" y="574675"/>
            <a:ext cx="2583007" cy="1227213"/>
          </a:xfrm>
          <a:prstGeom prst="rect">
            <a:avLst/>
          </a:prstGeom>
        </xdr:spPr>
      </xdr:pic>
      <xdr:pic>
        <xdr:nvPicPr>
          <xdr:cNvPr id="10" name="Bildobjekt 9">
            <a:extLst>
              <a:ext uri="{FF2B5EF4-FFF2-40B4-BE49-F238E27FC236}">
                <a16:creationId xmlns:a16="http://schemas.microsoft.com/office/drawing/2014/main" id="{17805652-E7DD-4DF7-AB33-BAB0EE2A447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7"/>
          <a:stretch>
            <a:fillRect/>
          </a:stretch>
        </xdr:blipFill>
        <xdr:spPr>
          <a:xfrm>
            <a:off x="54441" y="474698"/>
            <a:ext cx="1644057" cy="1401728"/>
          </a:xfrm>
          <a:prstGeom prst="rect">
            <a:avLst/>
          </a:prstGeom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136072</xdr:rowOff>
    </xdr:from>
    <xdr:to>
      <xdr:col>1</xdr:col>
      <xdr:colOff>3512363</xdr:colOff>
      <xdr:row>5</xdr:row>
      <xdr:rowOff>50539</xdr:rowOff>
    </xdr:to>
    <xdr:grpSp>
      <xdr:nvGrpSpPr>
        <xdr:cNvPr id="2" name="Grupp 1">
          <a:extLst>
            <a:ext uri="{FF2B5EF4-FFF2-40B4-BE49-F238E27FC236}">
              <a16:creationId xmlns:a16="http://schemas.microsoft.com/office/drawing/2014/main" id="{5C5B8C1D-87D1-418F-9D63-4F06A2C75F70}"/>
            </a:ext>
          </a:extLst>
        </xdr:cNvPr>
        <xdr:cNvGrpSpPr/>
      </xdr:nvGrpSpPr>
      <xdr:grpSpPr>
        <a:xfrm>
          <a:off x="0" y="440872"/>
          <a:ext cx="4091483" cy="1423227"/>
          <a:chOff x="54441" y="474698"/>
          <a:chExt cx="4128767" cy="1401728"/>
        </a:xfrm>
      </xdr:grpSpPr>
      <xdr:pic>
        <xdr:nvPicPr>
          <xdr:cNvPr id="3" name="Bildobjekt 2">
            <a:extLst>
              <a:ext uri="{FF2B5EF4-FFF2-40B4-BE49-F238E27FC236}">
                <a16:creationId xmlns:a16="http://schemas.microsoft.com/office/drawing/2014/main" id="{15372000-C1CF-6645-1160-1B9528EBE5F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clrChange>
              <a:clrFrom>
                <a:srgbClr val="FAFFFF"/>
              </a:clrFrom>
              <a:clrTo>
                <a:srgbClr val="FAFFFF">
                  <a:alpha val="0"/>
                </a:srgbClr>
              </a:clrTo>
            </a:clrChange>
            <a:extLst>
              <a:ext uri="{BEBA8EAE-BF5A-486C-A8C5-ECC9F3942E4B}">
                <a14:imgProps xmlns:a14="http://schemas.microsoft.com/office/drawing/2010/main">
                  <a14:imgLayer r:embed="rId2">
                    <a14:imgEffect>
                      <a14:colorTemperature colorTemp="5900"/>
                    </a14:imgEffect>
                  </a14:imgLayer>
                </a14:imgProps>
              </a:ex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600201" y="574675"/>
            <a:ext cx="2583007" cy="1227213"/>
          </a:xfrm>
          <a:prstGeom prst="rect">
            <a:avLst/>
          </a:prstGeom>
        </xdr:spPr>
      </xdr:pic>
      <xdr:pic>
        <xdr:nvPicPr>
          <xdr:cNvPr id="4" name="Bildobjekt 3">
            <a:extLst>
              <a:ext uri="{FF2B5EF4-FFF2-40B4-BE49-F238E27FC236}">
                <a16:creationId xmlns:a16="http://schemas.microsoft.com/office/drawing/2014/main" id="{543B35C3-0867-FC7A-79A5-59C31837886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54441" y="474698"/>
            <a:ext cx="1644057" cy="1401728"/>
          </a:xfrm>
          <a:prstGeom prst="rect">
            <a:avLst/>
          </a:prstGeom>
        </xdr:spPr>
      </xdr:pic>
    </xdr:grpSp>
    <xdr:clientData/>
  </xdr:twoCellAnchor>
  <xdr:twoCellAnchor>
    <xdr:from>
      <xdr:col>0</xdr:col>
      <xdr:colOff>400654</xdr:colOff>
      <xdr:row>90</xdr:row>
      <xdr:rowOff>359079</xdr:rowOff>
    </xdr:from>
    <xdr:to>
      <xdr:col>9</xdr:col>
      <xdr:colOff>1474050</xdr:colOff>
      <xdr:row>94</xdr:row>
      <xdr:rowOff>152254</xdr:rowOff>
    </xdr:to>
    <xdr:grpSp>
      <xdr:nvGrpSpPr>
        <xdr:cNvPr id="5" name="Grupp 4">
          <a:extLst>
            <a:ext uri="{FF2B5EF4-FFF2-40B4-BE49-F238E27FC236}">
              <a16:creationId xmlns:a16="http://schemas.microsoft.com/office/drawing/2014/main" id="{AE393ECA-0BFA-413C-85EA-3A9BC42AE88A}"/>
            </a:ext>
          </a:extLst>
        </xdr:cNvPr>
        <xdr:cNvGrpSpPr/>
      </xdr:nvGrpSpPr>
      <xdr:grpSpPr>
        <a:xfrm>
          <a:off x="400654" y="25992759"/>
          <a:ext cx="16968716" cy="1561015"/>
          <a:chOff x="126996" y="2196528"/>
          <a:chExt cx="17228703" cy="1550764"/>
        </a:xfrm>
      </xdr:grpSpPr>
      <xdr:pic>
        <xdr:nvPicPr>
          <xdr:cNvPr id="6" name="Bildobjekt 5">
            <a:extLst>
              <a:ext uri="{FF2B5EF4-FFF2-40B4-BE49-F238E27FC236}">
                <a16:creationId xmlns:a16="http://schemas.microsoft.com/office/drawing/2014/main" id="{6EB4BDB7-48AE-8406-9501-9FA991B49CC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5261697" y="2498629"/>
            <a:ext cx="4431311" cy="869854"/>
          </a:xfrm>
          <a:prstGeom prst="rect">
            <a:avLst/>
          </a:prstGeom>
        </xdr:spPr>
      </xdr:pic>
      <xdr:pic>
        <xdr:nvPicPr>
          <xdr:cNvPr id="7" name="Bildobjekt 6" descr="En bild som visar ritning&#10;&#10;Automatiskt genererad beskrivning">
            <a:extLst>
              <a:ext uri="{FF2B5EF4-FFF2-40B4-BE49-F238E27FC236}">
                <a16:creationId xmlns:a16="http://schemas.microsoft.com/office/drawing/2014/main" id="{D333EE32-7717-2D63-49D2-6BB0C29190C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</a:blip>
          <a:stretch>
            <a:fillRect/>
          </a:stretch>
        </xdr:blipFill>
        <xdr:spPr>
          <a:xfrm>
            <a:off x="9958016" y="2326409"/>
            <a:ext cx="4456314" cy="1089388"/>
          </a:xfrm>
          <a:prstGeom prst="rect">
            <a:avLst/>
          </a:prstGeom>
        </xdr:spPr>
      </xdr:pic>
      <xdr:pic>
        <xdr:nvPicPr>
          <xdr:cNvPr id="8" name="Picture 2">
            <a:extLst>
              <a:ext uri="{FF2B5EF4-FFF2-40B4-BE49-F238E27FC236}">
                <a16:creationId xmlns:a16="http://schemas.microsoft.com/office/drawing/2014/main" id="{18545201-3D14-F277-938F-A23DD9847AB3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6" cstate="print">
            <a:clrChange>
              <a:clrFrom>
                <a:srgbClr val="FEFEFE"/>
              </a:clrFrom>
              <a:clrTo>
                <a:srgbClr val="FEFEFE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751572" y="2488869"/>
            <a:ext cx="2604127" cy="91660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9" name="Bildobjekt 8" descr="En bild som visar text, skärmbild, Teckensnitt, Electric blue&#10;&#10;Automatiskt genererad beskrivning">
            <a:extLst>
              <a:ext uri="{FF2B5EF4-FFF2-40B4-BE49-F238E27FC236}">
                <a16:creationId xmlns:a16="http://schemas.microsoft.com/office/drawing/2014/main" id="{FC02F289-ECCA-0F16-4DE1-E0B8EC156CB6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7"/>
          <a:srcRect r="3712"/>
          <a:stretch/>
        </xdr:blipFill>
        <xdr:spPr>
          <a:xfrm>
            <a:off x="126996" y="2196528"/>
            <a:ext cx="4960031" cy="1550764"/>
          </a:xfrm>
          <a:prstGeom prst="rect">
            <a:avLst/>
          </a:prstGeom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136072</xdr:rowOff>
    </xdr:from>
    <xdr:to>
      <xdr:col>1</xdr:col>
      <xdr:colOff>3512363</xdr:colOff>
      <xdr:row>5</xdr:row>
      <xdr:rowOff>50539</xdr:rowOff>
    </xdr:to>
    <xdr:grpSp>
      <xdr:nvGrpSpPr>
        <xdr:cNvPr id="2" name="Grupp 1">
          <a:extLst>
            <a:ext uri="{FF2B5EF4-FFF2-40B4-BE49-F238E27FC236}">
              <a16:creationId xmlns:a16="http://schemas.microsoft.com/office/drawing/2014/main" id="{A61D95D1-A3A2-47A7-8720-220033A4A83C}"/>
            </a:ext>
          </a:extLst>
        </xdr:cNvPr>
        <xdr:cNvGrpSpPr/>
      </xdr:nvGrpSpPr>
      <xdr:grpSpPr>
        <a:xfrm>
          <a:off x="0" y="440872"/>
          <a:ext cx="4091483" cy="1400367"/>
          <a:chOff x="54441" y="474698"/>
          <a:chExt cx="4128767" cy="1401728"/>
        </a:xfrm>
      </xdr:grpSpPr>
      <xdr:pic>
        <xdr:nvPicPr>
          <xdr:cNvPr id="3" name="Bildobjekt 2">
            <a:extLst>
              <a:ext uri="{FF2B5EF4-FFF2-40B4-BE49-F238E27FC236}">
                <a16:creationId xmlns:a16="http://schemas.microsoft.com/office/drawing/2014/main" id="{6F1958CB-4E38-5870-3986-732ECA69418A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clrChange>
              <a:clrFrom>
                <a:srgbClr val="FAFFFF"/>
              </a:clrFrom>
              <a:clrTo>
                <a:srgbClr val="FAFFFF">
                  <a:alpha val="0"/>
                </a:srgbClr>
              </a:clrTo>
            </a:clrChange>
            <a:extLst>
              <a:ext uri="{BEBA8EAE-BF5A-486C-A8C5-ECC9F3942E4B}">
                <a14:imgProps xmlns:a14="http://schemas.microsoft.com/office/drawing/2010/main">
                  <a14:imgLayer r:embed="rId2">
                    <a14:imgEffect>
                      <a14:colorTemperature colorTemp="5900"/>
                    </a14:imgEffect>
                  </a14:imgLayer>
                </a14:imgProps>
              </a:ex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600201" y="574675"/>
            <a:ext cx="2583007" cy="1227213"/>
          </a:xfrm>
          <a:prstGeom prst="rect">
            <a:avLst/>
          </a:prstGeom>
        </xdr:spPr>
      </xdr:pic>
      <xdr:pic>
        <xdr:nvPicPr>
          <xdr:cNvPr id="4" name="Bildobjekt 3">
            <a:extLst>
              <a:ext uri="{FF2B5EF4-FFF2-40B4-BE49-F238E27FC236}">
                <a16:creationId xmlns:a16="http://schemas.microsoft.com/office/drawing/2014/main" id="{084D2989-CC0E-7576-5A04-78DDD2112DAB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54441" y="474698"/>
            <a:ext cx="1644057" cy="1401728"/>
          </a:xfrm>
          <a:prstGeom prst="rect">
            <a:avLst/>
          </a:prstGeom>
        </xdr:spPr>
      </xdr:pic>
    </xdr:grpSp>
    <xdr:clientData/>
  </xdr:twoCellAnchor>
  <xdr:twoCellAnchor>
    <xdr:from>
      <xdr:col>0</xdr:col>
      <xdr:colOff>400654</xdr:colOff>
      <xdr:row>94</xdr:row>
      <xdr:rowOff>412750</xdr:rowOff>
    </xdr:from>
    <xdr:to>
      <xdr:col>9</xdr:col>
      <xdr:colOff>232834</xdr:colOff>
      <xdr:row>98</xdr:row>
      <xdr:rowOff>152254</xdr:rowOff>
    </xdr:to>
    <xdr:grpSp>
      <xdr:nvGrpSpPr>
        <xdr:cNvPr id="5" name="Grupp 4">
          <a:extLst>
            <a:ext uri="{FF2B5EF4-FFF2-40B4-BE49-F238E27FC236}">
              <a16:creationId xmlns:a16="http://schemas.microsoft.com/office/drawing/2014/main" id="{AC1D4867-BB95-45F6-8A36-47F9AE7C88DA}"/>
            </a:ext>
          </a:extLst>
        </xdr:cNvPr>
        <xdr:cNvGrpSpPr/>
      </xdr:nvGrpSpPr>
      <xdr:grpSpPr>
        <a:xfrm>
          <a:off x="400654" y="28168600"/>
          <a:ext cx="15719880" cy="1473054"/>
          <a:chOff x="126996" y="2196528"/>
          <a:chExt cx="17228703" cy="1550764"/>
        </a:xfrm>
      </xdr:grpSpPr>
      <xdr:pic>
        <xdr:nvPicPr>
          <xdr:cNvPr id="6" name="Bildobjekt 5">
            <a:extLst>
              <a:ext uri="{FF2B5EF4-FFF2-40B4-BE49-F238E27FC236}">
                <a16:creationId xmlns:a16="http://schemas.microsoft.com/office/drawing/2014/main" id="{69C9226A-4ABA-1A5F-8D15-A499F1E5484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5261697" y="2498629"/>
            <a:ext cx="4431311" cy="869854"/>
          </a:xfrm>
          <a:prstGeom prst="rect">
            <a:avLst/>
          </a:prstGeom>
        </xdr:spPr>
      </xdr:pic>
      <xdr:pic>
        <xdr:nvPicPr>
          <xdr:cNvPr id="7" name="Bildobjekt 6" descr="En bild som visar ritning&#10;&#10;Automatiskt genererad beskrivning">
            <a:extLst>
              <a:ext uri="{FF2B5EF4-FFF2-40B4-BE49-F238E27FC236}">
                <a16:creationId xmlns:a16="http://schemas.microsoft.com/office/drawing/2014/main" id="{0823FAE0-9BB0-CE8C-D7AF-3547FB37EC5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</a:blip>
          <a:stretch>
            <a:fillRect/>
          </a:stretch>
        </xdr:blipFill>
        <xdr:spPr>
          <a:xfrm>
            <a:off x="9958016" y="2326409"/>
            <a:ext cx="4456314" cy="1089388"/>
          </a:xfrm>
          <a:prstGeom prst="rect">
            <a:avLst/>
          </a:prstGeom>
        </xdr:spPr>
      </xdr:pic>
      <xdr:pic>
        <xdr:nvPicPr>
          <xdr:cNvPr id="8" name="Picture 2">
            <a:extLst>
              <a:ext uri="{FF2B5EF4-FFF2-40B4-BE49-F238E27FC236}">
                <a16:creationId xmlns:a16="http://schemas.microsoft.com/office/drawing/2014/main" id="{9BBF2866-4CE4-3192-6980-CB062BD754BD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6" cstate="print">
            <a:clrChange>
              <a:clrFrom>
                <a:srgbClr val="FEFEFE"/>
              </a:clrFrom>
              <a:clrTo>
                <a:srgbClr val="FEFEFE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751572" y="2488869"/>
            <a:ext cx="2604127" cy="91660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9" name="Bildobjekt 8" descr="En bild som visar text, skärmbild, Teckensnitt, Electric blue&#10;&#10;Automatiskt genererad beskrivning">
            <a:extLst>
              <a:ext uri="{FF2B5EF4-FFF2-40B4-BE49-F238E27FC236}">
                <a16:creationId xmlns:a16="http://schemas.microsoft.com/office/drawing/2014/main" id="{E1BBCB2C-2463-88E2-ACBA-D01629DE7226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7"/>
          <a:srcRect r="3712"/>
          <a:stretch/>
        </xdr:blipFill>
        <xdr:spPr>
          <a:xfrm>
            <a:off x="126996" y="2196528"/>
            <a:ext cx="4960031" cy="1550764"/>
          </a:xfrm>
          <a:prstGeom prst="rect">
            <a:avLst/>
          </a:prstGeom>
        </xdr:spPr>
      </xdr:pic>
    </xdr:grpSp>
    <xdr:clientData/>
  </xdr:twoCellAnchor>
  <xdr:twoCellAnchor editAs="oneCell">
    <xdr:from>
      <xdr:col>9</xdr:col>
      <xdr:colOff>560916</xdr:colOff>
      <xdr:row>94</xdr:row>
      <xdr:rowOff>634596</xdr:rowOff>
    </xdr:from>
    <xdr:to>
      <xdr:col>11</xdr:col>
      <xdr:colOff>792225</xdr:colOff>
      <xdr:row>96</xdr:row>
      <xdr:rowOff>203319</xdr:rowOff>
    </xdr:to>
    <xdr:pic>
      <xdr:nvPicPr>
        <xdr:cNvPr id="16" name="Bildobjekt 15">
          <a:extLst>
            <a:ext uri="{FF2B5EF4-FFF2-40B4-BE49-F238E27FC236}">
              <a16:creationId xmlns:a16="http://schemas.microsoft.com/office/drawing/2014/main" id="{36171949-EDFB-A7A5-F2A7-A885F2A1F3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6700499" y="27198763"/>
          <a:ext cx="3829643" cy="77522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136072</xdr:rowOff>
    </xdr:from>
    <xdr:to>
      <xdr:col>1</xdr:col>
      <xdr:colOff>3512363</xdr:colOff>
      <xdr:row>5</xdr:row>
      <xdr:rowOff>50539</xdr:rowOff>
    </xdr:to>
    <xdr:grpSp>
      <xdr:nvGrpSpPr>
        <xdr:cNvPr id="2" name="Grupp 1">
          <a:extLst>
            <a:ext uri="{FF2B5EF4-FFF2-40B4-BE49-F238E27FC236}">
              <a16:creationId xmlns:a16="http://schemas.microsoft.com/office/drawing/2014/main" id="{89CF1D9C-2F4A-47D4-9961-5011072F8A6B}"/>
            </a:ext>
          </a:extLst>
        </xdr:cNvPr>
        <xdr:cNvGrpSpPr/>
      </xdr:nvGrpSpPr>
      <xdr:grpSpPr>
        <a:xfrm>
          <a:off x="0" y="440872"/>
          <a:ext cx="4091483" cy="1400367"/>
          <a:chOff x="54441" y="474698"/>
          <a:chExt cx="4128767" cy="1401728"/>
        </a:xfrm>
      </xdr:grpSpPr>
      <xdr:pic>
        <xdr:nvPicPr>
          <xdr:cNvPr id="3" name="Bildobjekt 2">
            <a:extLst>
              <a:ext uri="{FF2B5EF4-FFF2-40B4-BE49-F238E27FC236}">
                <a16:creationId xmlns:a16="http://schemas.microsoft.com/office/drawing/2014/main" id="{BB2C9DA2-8B73-F46F-9059-0475FE341C4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clrChange>
              <a:clrFrom>
                <a:srgbClr val="FAFFFF"/>
              </a:clrFrom>
              <a:clrTo>
                <a:srgbClr val="FAFFFF">
                  <a:alpha val="0"/>
                </a:srgbClr>
              </a:clrTo>
            </a:clrChange>
            <a:extLst>
              <a:ext uri="{BEBA8EAE-BF5A-486C-A8C5-ECC9F3942E4B}">
                <a14:imgProps xmlns:a14="http://schemas.microsoft.com/office/drawing/2010/main">
                  <a14:imgLayer r:embed="rId2">
                    <a14:imgEffect>
                      <a14:colorTemperature colorTemp="5900"/>
                    </a14:imgEffect>
                  </a14:imgLayer>
                </a14:imgProps>
              </a:ex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600201" y="574675"/>
            <a:ext cx="2583007" cy="1227213"/>
          </a:xfrm>
          <a:prstGeom prst="rect">
            <a:avLst/>
          </a:prstGeom>
        </xdr:spPr>
      </xdr:pic>
      <xdr:pic>
        <xdr:nvPicPr>
          <xdr:cNvPr id="4" name="Bildobjekt 3">
            <a:extLst>
              <a:ext uri="{FF2B5EF4-FFF2-40B4-BE49-F238E27FC236}">
                <a16:creationId xmlns:a16="http://schemas.microsoft.com/office/drawing/2014/main" id="{883C72DB-5F89-7FB8-4EC7-E07C57DA2C1E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54441" y="474698"/>
            <a:ext cx="1644057" cy="1401728"/>
          </a:xfrm>
          <a:prstGeom prst="rect">
            <a:avLst/>
          </a:prstGeom>
        </xdr:spPr>
      </xdr:pic>
    </xdr:grpSp>
    <xdr:clientData/>
  </xdr:twoCellAnchor>
  <xdr:twoCellAnchor>
    <xdr:from>
      <xdr:col>0</xdr:col>
      <xdr:colOff>400654</xdr:colOff>
      <xdr:row>90</xdr:row>
      <xdr:rowOff>359079</xdr:rowOff>
    </xdr:from>
    <xdr:to>
      <xdr:col>9</xdr:col>
      <xdr:colOff>1474050</xdr:colOff>
      <xdr:row>94</xdr:row>
      <xdr:rowOff>152254</xdr:rowOff>
    </xdr:to>
    <xdr:grpSp>
      <xdr:nvGrpSpPr>
        <xdr:cNvPr id="5" name="Grupp 4">
          <a:extLst>
            <a:ext uri="{FF2B5EF4-FFF2-40B4-BE49-F238E27FC236}">
              <a16:creationId xmlns:a16="http://schemas.microsoft.com/office/drawing/2014/main" id="{7C1C6E12-4041-407F-8A30-51710FBFA7A8}"/>
            </a:ext>
          </a:extLst>
        </xdr:cNvPr>
        <xdr:cNvGrpSpPr/>
      </xdr:nvGrpSpPr>
      <xdr:grpSpPr>
        <a:xfrm>
          <a:off x="400654" y="25371729"/>
          <a:ext cx="16961096" cy="1526725"/>
          <a:chOff x="126996" y="2196528"/>
          <a:chExt cx="17228703" cy="1550764"/>
        </a:xfrm>
      </xdr:grpSpPr>
      <xdr:pic>
        <xdr:nvPicPr>
          <xdr:cNvPr id="6" name="Bildobjekt 5">
            <a:extLst>
              <a:ext uri="{FF2B5EF4-FFF2-40B4-BE49-F238E27FC236}">
                <a16:creationId xmlns:a16="http://schemas.microsoft.com/office/drawing/2014/main" id="{BC44064F-2BBD-D642-F2A4-DC5F35F3144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5261697" y="2498629"/>
            <a:ext cx="4431311" cy="869854"/>
          </a:xfrm>
          <a:prstGeom prst="rect">
            <a:avLst/>
          </a:prstGeom>
        </xdr:spPr>
      </xdr:pic>
      <xdr:pic>
        <xdr:nvPicPr>
          <xdr:cNvPr id="7" name="Bildobjekt 6" descr="En bild som visar ritning&#10;&#10;Automatiskt genererad beskrivning">
            <a:extLst>
              <a:ext uri="{FF2B5EF4-FFF2-40B4-BE49-F238E27FC236}">
                <a16:creationId xmlns:a16="http://schemas.microsoft.com/office/drawing/2014/main" id="{045829C1-D0C9-4584-8503-FD51CF1A7062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</a:blip>
          <a:stretch>
            <a:fillRect/>
          </a:stretch>
        </xdr:blipFill>
        <xdr:spPr>
          <a:xfrm>
            <a:off x="9958016" y="2326409"/>
            <a:ext cx="4456314" cy="1089388"/>
          </a:xfrm>
          <a:prstGeom prst="rect">
            <a:avLst/>
          </a:prstGeom>
        </xdr:spPr>
      </xdr:pic>
      <xdr:pic>
        <xdr:nvPicPr>
          <xdr:cNvPr id="8" name="Picture 2">
            <a:extLst>
              <a:ext uri="{FF2B5EF4-FFF2-40B4-BE49-F238E27FC236}">
                <a16:creationId xmlns:a16="http://schemas.microsoft.com/office/drawing/2014/main" id="{098EAE61-9679-22E0-2916-83CED74D9774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6" cstate="print">
            <a:clrChange>
              <a:clrFrom>
                <a:srgbClr val="FEFEFE"/>
              </a:clrFrom>
              <a:clrTo>
                <a:srgbClr val="FEFEFE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751572" y="2488869"/>
            <a:ext cx="2604127" cy="91660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9" name="Bildobjekt 8" descr="En bild som visar text, skärmbild, Teckensnitt, Electric blue&#10;&#10;Automatiskt genererad beskrivning">
            <a:extLst>
              <a:ext uri="{FF2B5EF4-FFF2-40B4-BE49-F238E27FC236}">
                <a16:creationId xmlns:a16="http://schemas.microsoft.com/office/drawing/2014/main" id="{5CCD9E7E-315D-112C-AAB6-A14A2659B877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7"/>
          <a:srcRect r="3712"/>
          <a:stretch/>
        </xdr:blipFill>
        <xdr:spPr>
          <a:xfrm>
            <a:off x="126996" y="2196528"/>
            <a:ext cx="4960031" cy="1550764"/>
          </a:xfrm>
          <a:prstGeom prst="rect">
            <a:avLst/>
          </a:prstGeom>
        </xdr:spPr>
      </xdr:pic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136072</xdr:rowOff>
    </xdr:from>
    <xdr:to>
      <xdr:col>1</xdr:col>
      <xdr:colOff>3388538</xdr:colOff>
      <xdr:row>5</xdr:row>
      <xdr:rowOff>50539</xdr:rowOff>
    </xdr:to>
    <xdr:grpSp>
      <xdr:nvGrpSpPr>
        <xdr:cNvPr id="2" name="Grupp 1">
          <a:extLst>
            <a:ext uri="{FF2B5EF4-FFF2-40B4-BE49-F238E27FC236}">
              <a16:creationId xmlns:a16="http://schemas.microsoft.com/office/drawing/2014/main" id="{D6BB07C9-08AC-4E05-9909-E9E99D716F15}"/>
            </a:ext>
          </a:extLst>
        </xdr:cNvPr>
        <xdr:cNvGrpSpPr/>
      </xdr:nvGrpSpPr>
      <xdr:grpSpPr>
        <a:xfrm>
          <a:off x="0" y="440872"/>
          <a:ext cx="3998138" cy="1423227"/>
          <a:chOff x="54441" y="474698"/>
          <a:chExt cx="4128767" cy="1401728"/>
        </a:xfrm>
      </xdr:grpSpPr>
      <xdr:pic>
        <xdr:nvPicPr>
          <xdr:cNvPr id="3" name="Bildobjekt 2">
            <a:extLst>
              <a:ext uri="{FF2B5EF4-FFF2-40B4-BE49-F238E27FC236}">
                <a16:creationId xmlns:a16="http://schemas.microsoft.com/office/drawing/2014/main" id="{0DC665EC-14FA-D2D2-D662-AE4083313D1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clrChange>
              <a:clrFrom>
                <a:srgbClr val="FAFFFF"/>
              </a:clrFrom>
              <a:clrTo>
                <a:srgbClr val="FAFFFF">
                  <a:alpha val="0"/>
                </a:srgbClr>
              </a:clrTo>
            </a:clrChange>
            <a:extLst>
              <a:ext uri="{BEBA8EAE-BF5A-486C-A8C5-ECC9F3942E4B}">
                <a14:imgProps xmlns:a14="http://schemas.microsoft.com/office/drawing/2010/main">
                  <a14:imgLayer r:embed="rId2">
                    <a14:imgEffect>
                      <a14:colorTemperature colorTemp="5900"/>
                    </a14:imgEffect>
                  </a14:imgLayer>
                </a14:imgProps>
              </a:ex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600201" y="574675"/>
            <a:ext cx="2583007" cy="1227213"/>
          </a:xfrm>
          <a:prstGeom prst="rect">
            <a:avLst/>
          </a:prstGeom>
        </xdr:spPr>
      </xdr:pic>
      <xdr:pic>
        <xdr:nvPicPr>
          <xdr:cNvPr id="4" name="Bildobjekt 3">
            <a:extLst>
              <a:ext uri="{FF2B5EF4-FFF2-40B4-BE49-F238E27FC236}">
                <a16:creationId xmlns:a16="http://schemas.microsoft.com/office/drawing/2014/main" id="{A9060AE3-70A9-77DD-8CBB-2E034B7F9F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54441" y="474698"/>
            <a:ext cx="1644057" cy="1401728"/>
          </a:xfrm>
          <a:prstGeom prst="rect">
            <a:avLst/>
          </a:prstGeom>
        </xdr:spPr>
      </xdr:pic>
    </xdr:grpSp>
    <xdr:clientData/>
  </xdr:twoCellAnchor>
  <xdr:twoCellAnchor>
    <xdr:from>
      <xdr:col>0</xdr:col>
      <xdr:colOff>400654</xdr:colOff>
      <xdr:row>90</xdr:row>
      <xdr:rowOff>359079</xdr:rowOff>
    </xdr:from>
    <xdr:to>
      <xdr:col>9</xdr:col>
      <xdr:colOff>1474050</xdr:colOff>
      <xdr:row>94</xdr:row>
      <xdr:rowOff>152254</xdr:rowOff>
    </xdr:to>
    <xdr:grpSp>
      <xdr:nvGrpSpPr>
        <xdr:cNvPr id="5" name="Grupp 4">
          <a:extLst>
            <a:ext uri="{FF2B5EF4-FFF2-40B4-BE49-F238E27FC236}">
              <a16:creationId xmlns:a16="http://schemas.microsoft.com/office/drawing/2014/main" id="{A1038BAD-3F4B-453E-8101-DCAB9D9F11A3}"/>
            </a:ext>
          </a:extLst>
        </xdr:cNvPr>
        <xdr:cNvGrpSpPr/>
      </xdr:nvGrpSpPr>
      <xdr:grpSpPr>
        <a:xfrm>
          <a:off x="400654" y="25992759"/>
          <a:ext cx="16968716" cy="1561015"/>
          <a:chOff x="126996" y="2196528"/>
          <a:chExt cx="17228703" cy="1550764"/>
        </a:xfrm>
      </xdr:grpSpPr>
      <xdr:pic>
        <xdr:nvPicPr>
          <xdr:cNvPr id="6" name="Bildobjekt 5">
            <a:extLst>
              <a:ext uri="{FF2B5EF4-FFF2-40B4-BE49-F238E27FC236}">
                <a16:creationId xmlns:a16="http://schemas.microsoft.com/office/drawing/2014/main" id="{A8860A2E-2610-12E2-F774-E48E9A893133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5261697" y="2498629"/>
            <a:ext cx="4431311" cy="869854"/>
          </a:xfrm>
          <a:prstGeom prst="rect">
            <a:avLst/>
          </a:prstGeom>
        </xdr:spPr>
      </xdr:pic>
      <xdr:pic>
        <xdr:nvPicPr>
          <xdr:cNvPr id="7" name="Bildobjekt 6" descr="En bild som visar ritning&#10;&#10;Automatiskt genererad beskrivning">
            <a:extLst>
              <a:ext uri="{FF2B5EF4-FFF2-40B4-BE49-F238E27FC236}">
                <a16:creationId xmlns:a16="http://schemas.microsoft.com/office/drawing/2014/main" id="{6A4910D7-1891-9EF4-10AA-19A74CFB8CF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</a:blip>
          <a:stretch>
            <a:fillRect/>
          </a:stretch>
        </xdr:blipFill>
        <xdr:spPr>
          <a:xfrm>
            <a:off x="9958016" y="2326409"/>
            <a:ext cx="4456314" cy="1089388"/>
          </a:xfrm>
          <a:prstGeom prst="rect">
            <a:avLst/>
          </a:prstGeom>
        </xdr:spPr>
      </xdr:pic>
      <xdr:pic>
        <xdr:nvPicPr>
          <xdr:cNvPr id="8" name="Picture 2">
            <a:extLst>
              <a:ext uri="{FF2B5EF4-FFF2-40B4-BE49-F238E27FC236}">
                <a16:creationId xmlns:a16="http://schemas.microsoft.com/office/drawing/2014/main" id="{A5EABAD1-9F3A-E5FB-937B-010050A3AF24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6" cstate="print">
            <a:clrChange>
              <a:clrFrom>
                <a:srgbClr val="FEFEFE"/>
              </a:clrFrom>
              <a:clrTo>
                <a:srgbClr val="FEFEFE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751572" y="2488869"/>
            <a:ext cx="2604127" cy="916600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9" name="Bildobjekt 8" descr="En bild som visar text, skärmbild, Teckensnitt, Electric blue&#10;&#10;Automatiskt genererad beskrivning">
            <a:extLst>
              <a:ext uri="{FF2B5EF4-FFF2-40B4-BE49-F238E27FC236}">
                <a16:creationId xmlns:a16="http://schemas.microsoft.com/office/drawing/2014/main" id="{4995CDAB-2545-48A0-5A01-23A34620DAFC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7"/>
          <a:srcRect r="3712"/>
          <a:stretch/>
        </xdr:blipFill>
        <xdr:spPr>
          <a:xfrm>
            <a:off x="126996" y="2196528"/>
            <a:ext cx="4960031" cy="1550764"/>
          </a:xfrm>
          <a:prstGeom prst="rect">
            <a:avLst/>
          </a:prstGeom>
        </xdr:spPr>
      </xdr:pic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262287</xdr:rowOff>
    </xdr:from>
    <xdr:to>
      <xdr:col>1</xdr:col>
      <xdr:colOff>1778002</xdr:colOff>
      <xdr:row>5</xdr:row>
      <xdr:rowOff>410745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93909C06-0BEF-4114-A9D8-2E96F3DEF6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0" y="262287"/>
          <a:ext cx="2273302" cy="1948683"/>
        </a:xfrm>
        <a:prstGeom prst="rect">
          <a:avLst/>
        </a:prstGeom>
      </xdr:spPr>
    </xdr:pic>
    <xdr:clientData/>
  </xdr:twoCellAnchor>
  <xdr:twoCellAnchor>
    <xdr:from>
      <xdr:col>0</xdr:col>
      <xdr:colOff>529166</xdr:colOff>
      <xdr:row>78</xdr:row>
      <xdr:rowOff>926470</xdr:rowOff>
    </xdr:from>
    <xdr:to>
      <xdr:col>10</xdr:col>
      <xdr:colOff>666748</xdr:colOff>
      <xdr:row>84</xdr:row>
      <xdr:rowOff>222250</xdr:rowOff>
    </xdr:to>
    <xdr:grpSp>
      <xdr:nvGrpSpPr>
        <xdr:cNvPr id="3" name="Grupp 2">
          <a:extLst>
            <a:ext uri="{FF2B5EF4-FFF2-40B4-BE49-F238E27FC236}">
              <a16:creationId xmlns:a16="http://schemas.microsoft.com/office/drawing/2014/main" id="{24BC58B5-5225-4171-8A64-587694F59384}"/>
            </a:ext>
          </a:extLst>
        </xdr:cNvPr>
        <xdr:cNvGrpSpPr/>
      </xdr:nvGrpSpPr>
      <xdr:grpSpPr>
        <a:xfrm>
          <a:off x="529166" y="23314030"/>
          <a:ext cx="18593222" cy="1612260"/>
          <a:chOff x="126996" y="2578058"/>
          <a:chExt cx="17144547" cy="1169234"/>
        </a:xfrm>
      </xdr:grpSpPr>
      <xdr:pic>
        <xdr:nvPicPr>
          <xdr:cNvPr id="4" name="Bildobjekt 3">
            <a:extLst>
              <a:ext uri="{FF2B5EF4-FFF2-40B4-BE49-F238E27FC236}">
                <a16:creationId xmlns:a16="http://schemas.microsoft.com/office/drawing/2014/main" id="{01C7D8D5-CC20-FAD0-6C89-A7594D64AB07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4094383" y="2826608"/>
            <a:ext cx="3252671" cy="638490"/>
          </a:xfrm>
          <a:prstGeom prst="rect">
            <a:avLst/>
          </a:prstGeom>
        </xdr:spPr>
      </xdr:pic>
      <xdr:pic>
        <xdr:nvPicPr>
          <xdr:cNvPr id="5" name="Bildobjekt 4" descr="En bild som visar ritning&#10;&#10;Automatiskt genererad beskrivning">
            <a:extLst>
              <a:ext uri="{FF2B5EF4-FFF2-40B4-BE49-F238E27FC236}">
                <a16:creationId xmlns:a16="http://schemas.microsoft.com/office/drawing/2014/main" id="{737DC781-9184-6FBB-EC02-CAE23C383E2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</a:blip>
          <a:stretch>
            <a:fillRect/>
          </a:stretch>
        </xdr:blipFill>
        <xdr:spPr>
          <a:xfrm>
            <a:off x="7688238" y="2654352"/>
            <a:ext cx="3290462" cy="804385"/>
          </a:xfrm>
          <a:prstGeom prst="rect">
            <a:avLst/>
          </a:prstGeom>
        </xdr:spPr>
      </xdr:pic>
      <xdr:pic>
        <xdr:nvPicPr>
          <xdr:cNvPr id="6" name="Picture 2">
            <a:extLst>
              <a:ext uri="{FF2B5EF4-FFF2-40B4-BE49-F238E27FC236}">
                <a16:creationId xmlns:a16="http://schemas.microsoft.com/office/drawing/2014/main" id="{09927F42-AC69-2EC4-F6EC-BC6C978D8A86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4" cstate="print">
            <a:clrChange>
              <a:clrFrom>
                <a:srgbClr val="FEFEFE"/>
              </a:clrFrom>
              <a:clrTo>
                <a:srgbClr val="FEFEFE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5185507" y="2787974"/>
            <a:ext cx="2086036" cy="734242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7" name="Bildobjekt 6" descr="En bild som visar text, skärmbild, Teckensnitt, Electric blue&#10;&#10;Automatiskt genererad beskrivning">
            <a:extLst>
              <a:ext uri="{FF2B5EF4-FFF2-40B4-BE49-F238E27FC236}">
                <a16:creationId xmlns:a16="http://schemas.microsoft.com/office/drawing/2014/main" id="{F34D22F9-4D81-F97C-71F5-2077EEF9A6DF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5"/>
          <a:srcRect r="3712"/>
          <a:stretch/>
        </xdr:blipFill>
        <xdr:spPr>
          <a:xfrm>
            <a:off x="126996" y="2578058"/>
            <a:ext cx="3739731" cy="1169234"/>
          </a:xfrm>
          <a:prstGeom prst="rect">
            <a:avLst/>
          </a:prstGeom>
        </xdr:spPr>
      </xdr:pic>
    </xdr:grpSp>
    <xdr:clientData/>
  </xdr:twoCellAnchor>
  <xdr:twoCellAnchor editAs="oneCell">
    <xdr:from>
      <xdr:col>7</xdr:col>
      <xdr:colOff>253999</xdr:colOff>
      <xdr:row>79</xdr:row>
      <xdr:rowOff>243912</xdr:rowOff>
    </xdr:from>
    <xdr:to>
      <xdr:col>8</xdr:col>
      <xdr:colOff>3001783</xdr:colOff>
      <xdr:row>82</xdr:row>
      <xdr:rowOff>232834</xdr:rowOff>
    </xdr:to>
    <xdr:pic>
      <xdr:nvPicPr>
        <xdr:cNvPr id="8" name="Bildobjekt 7">
          <a:extLst>
            <a:ext uri="{FF2B5EF4-FFF2-40B4-BE49-F238E27FC236}">
              <a16:creationId xmlns:a16="http://schemas.microsoft.com/office/drawing/2014/main" id="{719454FC-8572-4D67-A651-FCE4D8EAB5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1998324" y="23142012"/>
          <a:ext cx="3824109" cy="789022"/>
        </a:xfrm>
        <a:prstGeom prst="rect">
          <a:avLst/>
        </a:prstGeom>
      </xdr:spPr>
    </xdr:pic>
    <xdr:clientData/>
  </xdr:twoCellAnchor>
  <xdr:twoCellAnchor>
    <xdr:from>
      <xdr:col>1</xdr:col>
      <xdr:colOff>1799167</xdr:colOff>
      <xdr:row>1</xdr:row>
      <xdr:rowOff>158750</xdr:rowOff>
    </xdr:from>
    <xdr:to>
      <xdr:col>2</xdr:col>
      <xdr:colOff>1688412</xdr:colOff>
      <xdr:row>5</xdr:row>
      <xdr:rowOff>306916</xdr:rowOff>
    </xdr:to>
    <xdr:pic>
      <xdr:nvPicPr>
        <xdr:cNvPr id="9" name="Bildobjekt 8">
          <a:extLst>
            <a:ext uri="{FF2B5EF4-FFF2-40B4-BE49-F238E27FC236}">
              <a16:creationId xmlns:a16="http://schemas.microsoft.com/office/drawing/2014/main" id="{0796E14D-15EF-463C-8D7D-EDF4F04800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clrChange>
            <a:clrFrom>
              <a:srgbClr val="FAFFFF"/>
            </a:clrFrom>
            <a:clrTo>
              <a:srgbClr val="FAFFFF">
                <a:alpha val="0"/>
              </a:srgbClr>
            </a:clrTo>
          </a:clrChange>
          <a:extLst>
            <a:ext uri="{BEBA8EAE-BF5A-486C-A8C5-ECC9F3942E4B}">
              <a14:imgProps xmlns:a14="http://schemas.microsoft.com/office/drawing/2010/main">
                <a14:imgLayer r:embed="rId8">
                  <a14:imgEffect>
                    <a14:colorTemperature colorTemp="59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9717" y="463550"/>
          <a:ext cx="3280145" cy="1643591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262287</xdr:rowOff>
    </xdr:from>
    <xdr:to>
      <xdr:col>1</xdr:col>
      <xdr:colOff>1778002</xdr:colOff>
      <xdr:row>5</xdr:row>
      <xdr:rowOff>410745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4D17BA0E-1A1A-4895-9AE2-230430B405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0" y="262287"/>
          <a:ext cx="2298702" cy="1951858"/>
        </a:xfrm>
        <a:prstGeom prst="rect">
          <a:avLst/>
        </a:prstGeom>
      </xdr:spPr>
    </xdr:pic>
    <xdr:clientData/>
  </xdr:twoCellAnchor>
  <xdr:twoCellAnchor>
    <xdr:from>
      <xdr:col>1</xdr:col>
      <xdr:colOff>1799167</xdr:colOff>
      <xdr:row>1</xdr:row>
      <xdr:rowOff>158750</xdr:rowOff>
    </xdr:from>
    <xdr:to>
      <xdr:col>2</xdr:col>
      <xdr:colOff>1688412</xdr:colOff>
      <xdr:row>5</xdr:row>
      <xdr:rowOff>306916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E7014E45-5F7B-4BFB-BD93-7DC9C13700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AFFFF"/>
            </a:clrFrom>
            <a:clrTo>
              <a:srgbClr val="FAFFFF">
                <a:alpha val="0"/>
              </a:srgbClr>
            </a:clrTo>
          </a:clrChange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colorTemperature colorTemp="59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15117" y="463550"/>
          <a:ext cx="3438895" cy="1646766"/>
        </a:xfrm>
        <a:prstGeom prst="rect">
          <a:avLst/>
        </a:prstGeom>
      </xdr:spPr>
    </xdr:pic>
    <xdr:clientData/>
  </xdr:twoCellAnchor>
  <xdr:twoCellAnchor>
    <xdr:from>
      <xdr:col>0</xdr:col>
      <xdr:colOff>508000</xdr:colOff>
      <xdr:row>71</xdr:row>
      <xdr:rowOff>306917</xdr:rowOff>
    </xdr:from>
    <xdr:to>
      <xdr:col>10</xdr:col>
      <xdr:colOff>656165</xdr:colOff>
      <xdr:row>75</xdr:row>
      <xdr:rowOff>57780</xdr:rowOff>
    </xdr:to>
    <xdr:grpSp>
      <xdr:nvGrpSpPr>
        <xdr:cNvPr id="4" name="Grupp 3">
          <a:extLst>
            <a:ext uri="{FF2B5EF4-FFF2-40B4-BE49-F238E27FC236}">
              <a16:creationId xmlns:a16="http://schemas.microsoft.com/office/drawing/2014/main" id="{4F0A1923-71D3-42BE-B2C0-870C115713A2}"/>
            </a:ext>
          </a:extLst>
        </xdr:cNvPr>
        <xdr:cNvGrpSpPr/>
      </xdr:nvGrpSpPr>
      <xdr:grpSpPr>
        <a:xfrm>
          <a:off x="508000" y="20667557"/>
          <a:ext cx="19259125" cy="1594903"/>
          <a:chOff x="126996" y="2578058"/>
          <a:chExt cx="17144547" cy="1169234"/>
        </a:xfrm>
      </xdr:grpSpPr>
      <xdr:pic>
        <xdr:nvPicPr>
          <xdr:cNvPr id="5" name="Bildobjekt 4">
            <a:extLst>
              <a:ext uri="{FF2B5EF4-FFF2-40B4-BE49-F238E27FC236}">
                <a16:creationId xmlns:a16="http://schemas.microsoft.com/office/drawing/2014/main" id="{2FC4655C-B92D-684F-C7C7-2829181EF38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4094383" y="2826608"/>
            <a:ext cx="3252671" cy="638490"/>
          </a:xfrm>
          <a:prstGeom prst="rect">
            <a:avLst/>
          </a:prstGeom>
        </xdr:spPr>
      </xdr:pic>
      <xdr:pic>
        <xdr:nvPicPr>
          <xdr:cNvPr id="6" name="Bildobjekt 5" descr="En bild som visar ritning&#10;&#10;Automatiskt genererad beskrivning">
            <a:extLst>
              <a:ext uri="{FF2B5EF4-FFF2-40B4-BE49-F238E27FC236}">
                <a16:creationId xmlns:a16="http://schemas.microsoft.com/office/drawing/2014/main" id="{F97B3234-C9C2-63AF-E0F0-74C694A2FDC9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</a:blip>
          <a:stretch>
            <a:fillRect/>
          </a:stretch>
        </xdr:blipFill>
        <xdr:spPr>
          <a:xfrm>
            <a:off x="7688238" y="2654352"/>
            <a:ext cx="3290462" cy="804385"/>
          </a:xfrm>
          <a:prstGeom prst="rect">
            <a:avLst/>
          </a:prstGeom>
        </xdr:spPr>
      </xdr:pic>
      <xdr:pic>
        <xdr:nvPicPr>
          <xdr:cNvPr id="7" name="Picture 2">
            <a:extLst>
              <a:ext uri="{FF2B5EF4-FFF2-40B4-BE49-F238E27FC236}">
                <a16:creationId xmlns:a16="http://schemas.microsoft.com/office/drawing/2014/main" id="{5D265013-3790-39C8-BA7F-3569A6DEA626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6" cstate="print">
            <a:clrChange>
              <a:clrFrom>
                <a:srgbClr val="FEFEFE"/>
              </a:clrFrom>
              <a:clrTo>
                <a:srgbClr val="FEFEFE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5185507" y="2787974"/>
            <a:ext cx="2086036" cy="734242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pic>
        <xdr:nvPicPr>
          <xdr:cNvPr id="8" name="Bildobjekt 7" descr="En bild som visar text, skärmbild, Teckensnitt, Electric blue&#10;&#10;Automatiskt genererad beskrivning">
            <a:extLst>
              <a:ext uri="{FF2B5EF4-FFF2-40B4-BE49-F238E27FC236}">
                <a16:creationId xmlns:a16="http://schemas.microsoft.com/office/drawing/2014/main" id="{D2412E72-B6F1-FBB4-4F13-4860E4968538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7"/>
          <a:srcRect r="3712"/>
          <a:stretch/>
        </xdr:blipFill>
        <xdr:spPr>
          <a:xfrm>
            <a:off x="126996" y="2578058"/>
            <a:ext cx="3739731" cy="1169234"/>
          </a:xfrm>
          <a:prstGeom prst="rect">
            <a:avLst/>
          </a:prstGeom>
        </xdr:spPr>
      </xdr:pic>
    </xdr:grpSp>
    <xdr:clientData/>
  </xdr:twoCellAnchor>
  <xdr:twoCellAnchor editAs="oneCell">
    <xdr:from>
      <xdr:col>7</xdr:col>
      <xdr:colOff>264583</xdr:colOff>
      <xdr:row>71</xdr:row>
      <xdr:rowOff>571500</xdr:rowOff>
    </xdr:from>
    <xdr:to>
      <xdr:col>9</xdr:col>
      <xdr:colOff>2468</xdr:colOff>
      <xdr:row>73</xdr:row>
      <xdr:rowOff>73588</xdr:rowOff>
    </xdr:to>
    <xdr:pic>
      <xdr:nvPicPr>
        <xdr:cNvPr id="9" name="Bildobjekt 8">
          <a:extLst>
            <a:ext uri="{FF2B5EF4-FFF2-40B4-BE49-F238E27FC236}">
              <a16:creationId xmlns:a16="http://schemas.microsoft.com/office/drawing/2014/main" id="{0F81748A-D8FB-4219-A1B0-2CDB4DAD05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3751983" y="21043900"/>
          <a:ext cx="3903485" cy="78478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biodrivost.se/wp-content/uploads/2024/07/Vad_kostar_fordonsagandet_2024.pdf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A6360E-5EFA-49A3-8B84-481D4FDEB5E3}">
  <dimension ref="A1:AC58"/>
  <sheetViews>
    <sheetView tabSelected="1" zoomScale="80" zoomScaleNormal="80" workbookViewId="0">
      <selection activeCell="A25" sqref="A25"/>
    </sheetView>
  </sheetViews>
  <sheetFormatPr defaultRowHeight="13.2"/>
  <cols>
    <col min="1" max="1" width="41.77734375" customWidth="1"/>
    <col min="2" max="2" width="27.21875" customWidth="1"/>
    <col min="3" max="3" width="21.21875" customWidth="1"/>
    <col min="4" max="4" width="15.44140625" customWidth="1"/>
    <col min="5" max="5" width="20.44140625" customWidth="1"/>
    <col min="7" max="7" width="4.77734375" customWidth="1"/>
    <col min="8" max="9" width="4.5546875" customWidth="1"/>
    <col min="10" max="10" width="4.77734375" customWidth="1"/>
    <col min="11" max="11" width="3.88671875" customWidth="1"/>
    <col min="13" max="13" width="4.109375" customWidth="1"/>
    <col min="14" max="14" width="5.88671875" customWidth="1"/>
    <col min="15" max="15" width="2" customWidth="1"/>
  </cols>
  <sheetData>
    <row r="1" spans="1:29">
      <c r="A1" s="183" t="s">
        <v>127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  <c r="L1" s="184"/>
      <c r="M1" s="184"/>
      <c r="N1" s="184"/>
      <c r="O1" s="184"/>
      <c r="P1" s="184"/>
      <c r="Q1" s="184"/>
      <c r="R1" s="184"/>
      <c r="S1" s="188"/>
      <c r="T1" s="189"/>
      <c r="U1" s="189"/>
      <c r="V1" s="189"/>
      <c r="W1" s="189"/>
      <c r="X1" s="189"/>
      <c r="Y1" s="189"/>
      <c r="Z1" s="189"/>
      <c r="AA1" s="189"/>
      <c r="AB1" s="189"/>
      <c r="AC1" s="189"/>
    </row>
    <row r="2" spans="1:29">
      <c r="A2" s="184"/>
      <c r="B2" s="184"/>
      <c r="C2" s="184"/>
      <c r="D2" s="184"/>
      <c r="E2" s="184"/>
      <c r="F2" s="184"/>
      <c r="G2" s="184"/>
      <c r="H2" s="184"/>
      <c r="I2" s="184"/>
      <c r="J2" s="184"/>
      <c r="K2" s="184"/>
      <c r="L2" s="184"/>
      <c r="M2" s="184"/>
      <c r="N2" s="184"/>
      <c r="O2" s="184"/>
      <c r="P2" s="184"/>
      <c r="Q2" s="184"/>
      <c r="R2" s="184"/>
      <c r="S2" s="188"/>
      <c r="T2" s="189"/>
      <c r="U2" s="189"/>
      <c r="V2" s="189"/>
      <c r="W2" s="189"/>
      <c r="X2" s="189"/>
      <c r="Y2" s="189"/>
      <c r="Z2" s="189"/>
      <c r="AA2" s="189"/>
      <c r="AB2" s="189"/>
      <c r="AC2" s="189"/>
    </row>
    <row r="3" spans="1:29">
      <c r="A3" s="184"/>
      <c r="B3" s="184"/>
      <c r="C3" s="184"/>
      <c r="D3" s="184"/>
      <c r="E3" s="184"/>
      <c r="F3" s="184"/>
      <c r="G3" s="184"/>
      <c r="H3" s="184"/>
      <c r="I3" s="184"/>
      <c r="J3" s="184"/>
      <c r="K3" s="184"/>
      <c r="L3" s="184"/>
      <c r="M3" s="184"/>
      <c r="N3" s="184"/>
      <c r="O3" s="184"/>
      <c r="P3" s="184"/>
      <c r="Q3" s="184"/>
      <c r="R3" s="184"/>
      <c r="S3" s="188"/>
      <c r="T3" s="189"/>
      <c r="U3" s="189"/>
      <c r="V3" s="189"/>
      <c r="W3" s="189"/>
      <c r="X3" s="189"/>
      <c r="Y3" s="189"/>
      <c r="Z3" s="189"/>
      <c r="AA3" s="189"/>
      <c r="AB3" s="189"/>
      <c r="AC3" s="189"/>
    </row>
    <row r="4" spans="1:29">
      <c r="A4" s="184"/>
      <c r="B4" s="184"/>
      <c r="C4" s="184"/>
      <c r="D4" s="184"/>
      <c r="E4" s="184"/>
      <c r="F4" s="184"/>
      <c r="G4" s="184"/>
      <c r="H4" s="184"/>
      <c r="I4" s="184"/>
      <c r="J4" s="184"/>
      <c r="K4" s="184"/>
      <c r="L4" s="184"/>
      <c r="M4" s="184"/>
      <c r="N4" s="184"/>
      <c r="O4" s="184"/>
      <c r="P4" s="184"/>
      <c r="Q4" s="184"/>
      <c r="R4" s="184"/>
      <c r="S4" s="188"/>
      <c r="T4" s="189"/>
      <c r="U4" s="189"/>
      <c r="V4" s="189"/>
      <c r="W4" s="189"/>
      <c r="X4" s="189"/>
      <c r="Y4" s="189"/>
      <c r="Z4" s="189"/>
      <c r="AA4" s="189"/>
      <c r="AB4" s="189"/>
      <c r="AC4" s="189"/>
    </row>
    <row r="5" spans="1:29">
      <c r="A5" s="184"/>
      <c r="B5" s="184"/>
      <c r="C5" s="184"/>
      <c r="D5" s="184"/>
      <c r="E5" s="184"/>
      <c r="F5" s="184"/>
      <c r="G5" s="184"/>
      <c r="H5" s="184"/>
      <c r="I5" s="184"/>
      <c r="J5" s="184"/>
      <c r="K5" s="184"/>
      <c r="L5" s="184"/>
      <c r="M5" s="184"/>
      <c r="N5" s="184"/>
      <c r="O5" s="184"/>
      <c r="P5" s="184"/>
      <c r="Q5" s="184"/>
      <c r="R5" s="184"/>
      <c r="S5" s="188"/>
      <c r="T5" s="189"/>
      <c r="U5" s="189"/>
      <c r="V5" s="189"/>
      <c r="W5" s="189"/>
      <c r="X5" s="189"/>
      <c r="Y5" s="189"/>
      <c r="Z5" s="189"/>
      <c r="AA5" s="189"/>
      <c r="AB5" s="189"/>
      <c r="AC5" s="189"/>
    </row>
    <row r="6" spans="1:29">
      <c r="A6" s="184"/>
      <c r="B6" s="184"/>
      <c r="C6" s="184"/>
      <c r="D6" s="184"/>
      <c r="E6" s="184"/>
      <c r="F6" s="184"/>
      <c r="G6" s="184"/>
      <c r="H6" s="184"/>
      <c r="I6" s="184"/>
      <c r="J6" s="184"/>
      <c r="K6" s="184"/>
      <c r="L6" s="184"/>
      <c r="M6" s="184"/>
      <c r="N6" s="184"/>
      <c r="O6" s="184"/>
      <c r="P6" s="184"/>
      <c r="Q6" s="184"/>
      <c r="R6" s="184"/>
      <c r="S6" s="188"/>
      <c r="T6" s="189"/>
      <c r="U6" s="189"/>
      <c r="V6" s="189"/>
      <c r="W6" s="189"/>
      <c r="X6" s="189"/>
      <c r="Y6" s="189"/>
      <c r="Z6" s="189"/>
      <c r="AA6" s="189"/>
      <c r="AB6" s="189"/>
      <c r="AC6" s="189"/>
    </row>
    <row r="7" spans="1:29">
      <c r="A7" s="184"/>
      <c r="B7" s="184"/>
      <c r="C7" s="184"/>
      <c r="D7" s="184"/>
      <c r="E7" s="184"/>
      <c r="F7" s="184"/>
      <c r="G7" s="184"/>
      <c r="H7" s="184"/>
      <c r="I7" s="184"/>
      <c r="J7" s="184"/>
      <c r="K7" s="184"/>
      <c r="L7" s="184"/>
      <c r="M7" s="184"/>
      <c r="N7" s="184"/>
      <c r="O7" s="184"/>
      <c r="P7" s="184"/>
      <c r="Q7" s="184"/>
      <c r="R7" s="184"/>
      <c r="S7" s="188"/>
      <c r="T7" s="189"/>
      <c r="U7" s="189"/>
      <c r="V7" s="189"/>
      <c r="W7" s="189"/>
      <c r="X7" s="189"/>
      <c r="Y7" s="189"/>
      <c r="Z7" s="189"/>
      <c r="AA7" s="189"/>
      <c r="AB7" s="189"/>
      <c r="AC7" s="189"/>
    </row>
    <row r="8" spans="1:29">
      <c r="A8" s="184"/>
      <c r="B8" s="184"/>
      <c r="C8" s="184"/>
      <c r="D8" s="184"/>
      <c r="E8" s="184"/>
      <c r="F8" s="184"/>
      <c r="G8" s="184"/>
      <c r="H8" s="184"/>
      <c r="I8" s="184"/>
      <c r="J8" s="184"/>
      <c r="K8" s="184"/>
      <c r="L8" s="184"/>
      <c r="M8" s="184"/>
      <c r="N8" s="184"/>
      <c r="O8" s="184"/>
      <c r="P8" s="184"/>
      <c r="Q8" s="184"/>
      <c r="R8" s="184"/>
      <c r="S8" s="188"/>
      <c r="T8" s="189"/>
      <c r="U8" s="189"/>
      <c r="V8" s="189"/>
      <c r="W8" s="189"/>
      <c r="X8" s="189"/>
      <c r="Y8" s="189"/>
      <c r="Z8" s="189"/>
      <c r="AA8" s="189"/>
      <c r="AB8" s="189"/>
      <c r="AC8" s="189"/>
    </row>
    <row r="9" spans="1:29">
      <c r="A9" s="184"/>
      <c r="B9" s="184"/>
      <c r="C9" s="184"/>
      <c r="D9" s="184"/>
      <c r="E9" s="184"/>
      <c r="F9" s="184"/>
      <c r="G9" s="184"/>
      <c r="H9" s="184"/>
      <c r="I9" s="184"/>
      <c r="J9" s="184"/>
      <c r="K9" s="184"/>
      <c r="L9" s="184"/>
      <c r="M9" s="184"/>
      <c r="N9" s="184"/>
      <c r="O9" s="184"/>
      <c r="P9" s="184"/>
      <c r="Q9" s="184"/>
      <c r="R9" s="184"/>
      <c r="S9" s="188"/>
      <c r="T9" s="189"/>
      <c r="U9" s="189"/>
      <c r="V9" s="189"/>
      <c r="W9" s="189"/>
      <c r="X9" s="189"/>
      <c r="Y9" s="189"/>
      <c r="Z9" s="189"/>
      <c r="AA9" s="189"/>
      <c r="AB9" s="189"/>
      <c r="AC9" s="189"/>
    </row>
    <row r="10" spans="1:29">
      <c r="A10" s="184"/>
      <c r="B10" s="184"/>
      <c r="C10" s="184"/>
      <c r="D10" s="184"/>
      <c r="E10" s="184"/>
      <c r="F10" s="184"/>
      <c r="G10" s="184"/>
      <c r="H10" s="184"/>
      <c r="I10" s="184"/>
      <c r="J10" s="184"/>
      <c r="K10" s="184"/>
      <c r="L10" s="184"/>
      <c r="M10" s="184"/>
      <c r="N10" s="184"/>
      <c r="O10" s="184"/>
      <c r="P10" s="184"/>
      <c r="Q10" s="184"/>
      <c r="R10" s="184"/>
      <c r="S10" s="188"/>
      <c r="T10" s="189"/>
      <c r="U10" s="189"/>
      <c r="V10" s="189"/>
      <c r="W10" s="189"/>
      <c r="X10" s="189"/>
      <c r="Y10" s="189"/>
      <c r="Z10" s="189"/>
      <c r="AA10" s="189"/>
      <c r="AB10" s="189"/>
      <c r="AC10" s="189"/>
    </row>
    <row r="11" spans="1:29">
      <c r="A11" s="184"/>
      <c r="B11" s="184"/>
      <c r="C11" s="184"/>
      <c r="D11" s="184"/>
      <c r="E11" s="184"/>
      <c r="F11" s="184"/>
      <c r="G11" s="184"/>
      <c r="H11" s="184"/>
      <c r="I11" s="184"/>
      <c r="J11" s="184"/>
      <c r="K11" s="184"/>
      <c r="L11" s="184"/>
      <c r="M11" s="184"/>
      <c r="N11" s="184"/>
      <c r="O11" s="184"/>
      <c r="P11" s="184"/>
      <c r="Q11" s="184"/>
      <c r="R11" s="184"/>
      <c r="S11" s="188"/>
      <c r="T11" s="189"/>
      <c r="U11" s="189"/>
      <c r="V11" s="189"/>
      <c r="W11" s="189"/>
      <c r="X11" s="189"/>
      <c r="Y11" s="189"/>
      <c r="Z11" s="189"/>
      <c r="AA11" s="189"/>
      <c r="AB11" s="189"/>
      <c r="AC11" s="189"/>
    </row>
    <row r="12" spans="1:29">
      <c r="A12" s="184"/>
      <c r="B12" s="184"/>
      <c r="C12" s="184"/>
      <c r="D12" s="184"/>
      <c r="E12" s="184"/>
      <c r="F12" s="184"/>
      <c r="G12" s="184"/>
      <c r="H12" s="184"/>
      <c r="I12" s="184"/>
      <c r="J12" s="184"/>
      <c r="K12" s="184"/>
      <c r="L12" s="184"/>
      <c r="M12" s="184"/>
      <c r="N12" s="184"/>
      <c r="O12" s="184"/>
      <c r="P12" s="184"/>
      <c r="Q12" s="184"/>
      <c r="R12" s="184"/>
      <c r="S12" s="188"/>
      <c r="T12" s="189"/>
      <c r="U12" s="189"/>
      <c r="V12" s="189"/>
      <c r="W12" s="189"/>
      <c r="X12" s="189"/>
      <c r="Y12" s="189"/>
      <c r="Z12" s="189"/>
      <c r="AA12" s="189"/>
      <c r="AB12" s="189"/>
      <c r="AC12" s="189"/>
    </row>
    <row r="13" spans="1:29">
      <c r="A13" s="184"/>
      <c r="B13" s="184"/>
      <c r="C13" s="184"/>
      <c r="D13" s="184"/>
      <c r="E13" s="184"/>
      <c r="F13" s="184"/>
      <c r="G13" s="184"/>
      <c r="H13" s="184"/>
      <c r="I13" s="184"/>
      <c r="J13" s="184"/>
      <c r="K13" s="184"/>
      <c r="L13" s="184"/>
      <c r="M13" s="184"/>
      <c r="N13" s="184"/>
      <c r="O13" s="184"/>
      <c r="P13" s="184"/>
      <c r="Q13" s="184"/>
      <c r="R13" s="184"/>
      <c r="S13" s="188"/>
      <c r="T13" s="189"/>
      <c r="U13" s="189"/>
      <c r="V13" s="189"/>
      <c r="W13" s="189"/>
      <c r="X13" s="189"/>
      <c r="Y13" s="189"/>
      <c r="Z13" s="189"/>
      <c r="AA13" s="189"/>
      <c r="AB13" s="189"/>
      <c r="AC13" s="189"/>
    </row>
    <row r="14" spans="1:29">
      <c r="A14" s="185"/>
      <c r="B14" s="185"/>
      <c r="C14" s="185"/>
      <c r="D14" s="185"/>
      <c r="E14" s="185"/>
      <c r="F14" s="185"/>
      <c r="G14" s="185"/>
      <c r="H14" s="185"/>
      <c r="I14" s="185"/>
      <c r="J14" s="185"/>
      <c r="K14" s="185"/>
      <c r="L14" s="185"/>
      <c r="M14" s="185"/>
      <c r="N14" s="185"/>
      <c r="O14" s="185"/>
      <c r="P14" s="185"/>
      <c r="Q14" s="185"/>
      <c r="R14" s="185"/>
      <c r="S14" s="185"/>
      <c r="T14" s="185"/>
      <c r="U14" s="185"/>
      <c r="V14" s="185"/>
      <c r="W14" s="185"/>
      <c r="X14" s="185"/>
      <c r="Y14" s="185"/>
      <c r="Z14" s="185"/>
      <c r="AA14" s="185"/>
      <c r="AB14" s="185"/>
      <c r="AC14" s="185"/>
    </row>
    <row r="15" spans="1:29">
      <c r="A15" s="186"/>
      <c r="B15" s="186"/>
      <c r="C15" s="186"/>
      <c r="D15" s="186"/>
      <c r="E15" s="186"/>
      <c r="F15" s="186"/>
      <c r="G15" s="186"/>
      <c r="H15" s="186"/>
      <c r="I15" s="186"/>
      <c r="J15" s="186"/>
      <c r="K15" s="186"/>
      <c r="L15" s="186"/>
      <c r="M15" s="186"/>
      <c r="N15" s="186"/>
      <c r="O15" s="186"/>
      <c r="P15" s="186"/>
      <c r="Q15" s="186"/>
      <c r="R15" s="186"/>
      <c r="S15" s="186"/>
      <c r="T15" s="186"/>
      <c r="U15" s="186"/>
      <c r="V15" s="186"/>
      <c r="W15" s="186"/>
      <c r="X15" s="186"/>
      <c r="Y15" s="186"/>
      <c r="Z15" s="186"/>
      <c r="AA15" s="186"/>
      <c r="AB15" s="186"/>
      <c r="AC15" s="186"/>
    </row>
    <row r="16" spans="1:29">
      <c r="A16" s="186"/>
      <c r="B16" s="186"/>
      <c r="C16" s="186"/>
      <c r="D16" s="186"/>
      <c r="E16" s="186"/>
      <c r="F16" s="186"/>
      <c r="G16" s="186"/>
      <c r="H16" s="186"/>
      <c r="I16" s="186"/>
      <c r="J16" s="186"/>
      <c r="K16" s="186"/>
      <c r="L16" s="186"/>
      <c r="M16" s="186"/>
      <c r="N16" s="186"/>
      <c r="O16" s="186"/>
      <c r="P16" s="186"/>
      <c r="Q16" s="186"/>
      <c r="R16" s="186"/>
      <c r="S16" s="186"/>
      <c r="T16" s="186"/>
      <c r="U16" s="186"/>
      <c r="V16" s="186"/>
      <c r="W16" s="186"/>
      <c r="X16" s="186"/>
      <c r="Y16" s="186"/>
      <c r="Z16" s="186"/>
      <c r="AA16" s="186"/>
      <c r="AB16" s="186"/>
      <c r="AC16" s="186"/>
    </row>
    <row r="17" spans="1:29">
      <c r="A17" s="186"/>
      <c r="B17" s="186"/>
      <c r="C17" s="186"/>
      <c r="D17" s="186"/>
      <c r="E17" s="186"/>
      <c r="F17" s="186"/>
      <c r="G17" s="186"/>
      <c r="H17" s="186"/>
      <c r="I17" s="186"/>
      <c r="J17" s="186"/>
      <c r="K17" s="186"/>
      <c r="L17" s="186"/>
      <c r="M17" s="186"/>
      <c r="N17" s="186"/>
      <c r="O17" s="186"/>
      <c r="P17" s="186"/>
      <c r="Q17" s="186"/>
      <c r="R17" s="186"/>
      <c r="S17" s="186"/>
      <c r="T17" s="186"/>
      <c r="U17" s="186"/>
      <c r="V17" s="186"/>
      <c r="W17" s="186"/>
      <c r="X17" s="186"/>
      <c r="Y17" s="186"/>
      <c r="Z17" s="186"/>
      <c r="AA17" s="186"/>
      <c r="AB17" s="186"/>
      <c r="AC17" s="186"/>
    </row>
    <row r="18" spans="1:29">
      <c r="A18" s="186"/>
      <c r="B18" s="186"/>
      <c r="C18" s="186"/>
      <c r="D18" s="186"/>
      <c r="E18" s="186"/>
      <c r="F18" s="186"/>
      <c r="G18" s="186"/>
      <c r="H18" s="186"/>
      <c r="I18" s="186"/>
      <c r="J18" s="186"/>
      <c r="K18" s="186"/>
      <c r="L18" s="186"/>
      <c r="M18" s="186"/>
      <c r="N18" s="186"/>
      <c r="O18" s="186"/>
      <c r="P18" s="186"/>
      <c r="Q18" s="186"/>
      <c r="R18" s="186"/>
      <c r="S18" s="186"/>
      <c r="T18" s="186"/>
      <c r="U18" s="186"/>
      <c r="V18" s="186"/>
      <c r="W18" s="186"/>
      <c r="X18" s="186"/>
      <c r="Y18" s="186"/>
      <c r="Z18" s="186"/>
      <c r="AA18" s="186"/>
      <c r="AB18" s="186"/>
      <c r="AC18" s="186"/>
    </row>
    <row r="19" spans="1:29">
      <c r="A19" s="186"/>
      <c r="B19" s="186"/>
      <c r="C19" s="186"/>
      <c r="D19" s="186"/>
      <c r="E19" s="186"/>
      <c r="F19" s="186"/>
      <c r="G19" s="186"/>
      <c r="H19" s="186"/>
      <c r="I19" s="186"/>
      <c r="J19" s="186"/>
      <c r="K19" s="186"/>
      <c r="L19" s="186"/>
      <c r="M19" s="186"/>
      <c r="N19" s="186"/>
      <c r="O19" s="186"/>
      <c r="P19" s="186"/>
      <c r="Q19" s="186"/>
      <c r="R19" s="186"/>
      <c r="S19" s="186"/>
      <c r="T19" s="186"/>
      <c r="U19" s="186"/>
      <c r="V19" s="186"/>
      <c r="W19" s="186"/>
      <c r="X19" s="186"/>
      <c r="Y19" s="186"/>
      <c r="Z19" s="186"/>
      <c r="AA19" s="186"/>
      <c r="AB19" s="186"/>
      <c r="AC19" s="186"/>
    </row>
    <row r="20" spans="1:29">
      <c r="A20" s="186"/>
      <c r="B20" s="186"/>
      <c r="C20" s="186"/>
      <c r="D20" s="186"/>
      <c r="E20" s="186"/>
      <c r="F20" s="186"/>
      <c r="G20" s="186"/>
      <c r="H20" s="186"/>
      <c r="I20" s="186"/>
      <c r="J20" s="186"/>
      <c r="K20" s="186"/>
      <c r="L20" s="186"/>
      <c r="M20" s="186"/>
      <c r="N20" s="186"/>
      <c r="O20" s="186"/>
      <c r="P20" s="186"/>
      <c r="Q20" s="186"/>
      <c r="R20" s="186"/>
      <c r="S20" s="186"/>
      <c r="T20" s="186"/>
      <c r="U20" s="186"/>
      <c r="V20" s="186"/>
      <c r="W20" s="186"/>
      <c r="X20" s="186"/>
      <c r="Y20" s="186"/>
      <c r="Z20" s="186"/>
      <c r="AA20" s="186"/>
      <c r="AB20" s="186"/>
      <c r="AC20" s="186"/>
    </row>
    <row r="21" spans="1:29">
      <c r="A21" s="186"/>
      <c r="B21" s="186"/>
      <c r="C21" s="186"/>
      <c r="D21" s="186"/>
      <c r="E21" s="186"/>
      <c r="F21" s="186"/>
      <c r="G21" s="186"/>
      <c r="H21" s="186"/>
      <c r="I21" s="186"/>
      <c r="J21" s="186"/>
      <c r="K21" s="186"/>
      <c r="L21" s="186"/>
      <c r="M21" s="186"/>
      <c r="N21" s="186"/>
      <c r="O21" s="186"/>
      <c r="P21" s="186"/>
      <c r="Q21" s="186"/>
      <c r="R21" s="186"/>
      <c r="S21" s="186"/>
      <c r="T21" s="186"/>
      <c r="U21" s="186"/>
      <c r="V21" s="186"/>
      <c r="W21" s="186"/>
      <c r="X21" s="186"/>
      <c r="Y21" s="186"/>
      <c r="Z21" s="186"/>
      <c r="AA21" s="186"/>
      <c r="AB21" s="186"/>
      <c r="AC21" s="186"/>
    </row>
    <row r="22" spans="1:29">
      <c r="A22" s="186"/>
      <c r="B22" s="186"/>
      <c r="C22" s="186"/>
      <c r="D22" s="186"/>
      <c r="E22" s="186"/>
      <c r="F22" s="186"/>
      <c r="G22" s="186"/>
      <c r="H22" s="186"/>
      <c r="I22" s="186"/>
      <c r="J22" s="186"/>
      <c r="K22" s="186"/>
      <c r="L22" s="186"/>
      <c r="M22" s="186"/>
      <c r="N22" s="186"/>
      <c r="O22" s="186"/>
      <c r="P22" s="186"/>
      <c r="Q22" s="186"/>
      <c r="R22" s="186"/>
      <c r="S22" s="186"/>
      <c r="T22" s="186"/>
      <c r="U22" s="186"/>
      <c r="V22" s="186"/>
      <c r="W22" s="186"/>
      <c r="X22" s="186"/>
      <c r="Y22" s="186"/>
      <c r="Z22" s="186"/>
      <c r="AA22" s="186"/>
      <c r="AB22" s="186"/>
      <c r="AC22" s="186"/>
    </row>
    <row r="23" spans="1:29">
      <c r="A23" s="187"/>
      <c r="B23" s="187"/>
      <c r="C23" s="187"/>
      <c r="D23" s="187"/>
      <c r="E23" s="187"/>
      <c r="F23" s="187"/>
      <c r="G23" s="187"/>
      <c r="H23" s="187"/>
      <c r="I23" s="187"/>
      <c r="J23" s="187"/>
      <c r="K23" s="187"/>
      <c r="L23" s="187"/>
      <c r="M23" s="187"/>
      <c r="N23" s="187"/>
      <c r="O23" s="187"/>
      <c r="P23" s="187"/>
      <c r="Q23" s="187"/>
      <c r="R23" s="187"/>
      <c r="S23" s="187"/>
      <c r="T23" s="187"/>
      <c r="U23" s="187"/>
      <c r="V23" s="187"/>
      <c r="W23" s="187"/>
      <c r="X23" s="187"/>
      <c r="Y23" s="187"/>
      <c r="Z23" s="187"/>
      <c r="AA23" s="187"/>
      <c r="AB23" s="187"/>
      <c r="AC23" s="187"/>
    </row>
    <row r="24" spans="1:29">
      <c r="A24" s="53"/>
      <c r="B24" s="53"/>
      <c r="C24" s="53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53"/>
      <c r="X24" s="53"/>
      <c r="Y24" s="53"/>
      <c r="Z24" s="53"/>
      <c r="AA24" s="53"/>
      <c r="AB24" s="53"/>
      <c r="AC24" s="53"/>
    </row>
    <row r="25" spans="1:29" ht="24.6">
      <c r="A25" s="57"/>
    </row>
    <row r="26" spans="1:29" ht="21">
      <c r="A26" s="61" t="s">
        <v>0</v>
      </c>
    </row>
    <row r="27" spans="1:29" ht="20.399999999999999">
      <c r="A27" s="54"/>
    </row>
    <row r="28" spans="1:29" ht="20.399999999999999">
      <c r="A28" s="179" t="s">
        <v>121</v>
      </c>
    </row>
    <row r="29" spans="1:29" ht="20.399999999999999">
      <c r="A29" s="179" t="s">
        <v>122</v>
      </c>
    </row>
    <row r="30" spans="1:29" ht="20.399999999999999">
      <c r="A30" s="179" t="s">
        <v>123</v>
      </c>
    </row>
    <row r="31" spans="1:29" ht="20.399999999999999">
      <c r="A31" s="179" t="s">
        <v>123</v>
      </c>
    </row>
    <row r="32" spans="1:29" ht="20.399999999999999">
      <c r="A32" s="179" t="s">
        <v>124</v>
      </c>
    </row>
    <row r="33" spans="1:2" ht="20.399999999999999">
      <c r="A33" s="179" t="s">
        <v>125</v>
      </c>
    </row>
    <row r="34" spans="1:2">
      <c r="A34" s="56"/>
    </row>
    <row r="35" spans="1:2">
      <c r="A35" s="56"/>
    </row>
    <row r="36" spans="1:2" ht="21">
      <c r="A36" s="132" t="s">
        <v>105</v>
      </c>
    </row>
    <row r="37" spans="1:2">
      <c r="A37" s="190" t="s">
        <v>107</v>
      </c>
      <c r="B37" s="191"/>
    </row>
    <row r="38" spans="1:2">
      <c r="A38" s="191"/>
      <c r="B38" s="191"/>
    </row>
    <row r="39" spans="1:2">
      <c r="A39" s="191"/>
      <c r="B39" s="191"/>
    </row>
    <row r="40" spans="1:2">
      <c r="A40" s="191"/>
      <c r="B40" s="191"/>
    </row>
    <row r="41" spans="1:2">
      <c r="A41" s="191"/>
      <c r="B41" s="191"/>
    </row>
    <row r="42" spans="1:2">
      <c r="A42" s="191"/>
      <c r="B42" s="191"/>
    </row>
    <row r="43" spans="1:2">
      <c r="A43" s="191"/>
      <c r="B43" s="191"/>
    </row>
    <row r="44" spans="1:2">
      <c r="A44" s="191"/>
      <c r="B44" s="191"/>
    </row>
    <row r="45" spans="1:2">
      <c r="A45" s="191"/>
      <c r="B45" s="191"/>
    </row>
    <row r="46" spans="1:2">
      <c r="A46" s="191"/>
      <c r="B46" s="191"/>
    </row>
    <row r="47" spans="1:2">
      <c r="A47" s="191"/>
      <c r="B47" s="191"/>
    </row>
    <row r="48" spans="1:2">
      <c r="A48" s="191"/>
      <c r="B48" s="191"/>
    </row>
    <row r="50" spans="1:7" ht="22.8">
      <c r="A50" s="178" t="s">
        <v>129</v>
      </c>
    </row>
    <row r="51" spans="1:7" ht="21">
      <c r="A51" s="4"/>
      <c r="B51" s="4"/>
      <c r="C51" s="4"/>
      <c r="D51" s="4"/>
      <c r="E51" s="181"/>
    </row>
    <row r="52" spans="1:7" ht="23.4">
      <c r="A52" s="62"/>
      <c r="B52" s="63"/>
      <c r="C52" s="63"/>
      <c r="D52" s="63"/>
      <c r="E52" s="182"/>
    </row>
    <row r="53" spans="1:7" ht="21">
      <c r="A53" s="4"/>
      <c r="B53" s="64"/>
      <c r="C53" s="64"/>
      <c r="D53" s="64"/>
      <c r="E53" s="182"/>
    </row>
    <row r="54" spans="1:7" ht="21">
      <c r="A54" s="4"/>
      <c r="B54" s="4"/>
      <c r="C54" s="4"/>
      <c r="D54" s="4"/>
      <c r="E54" s="137"/>
    </row>
    <row r="55" spans="1:7" ht="21">
      <c r="A55" s="4"/>
      <c r="B55" s="4"/>
      <c r="C55" s="4"/>
      <c r="D55" s="4"/>
      <c r="E55" s="137"/>
    </row>
    <row r="56" spans="1:7" ht="21">
      <c r="A56" s="4"/>
      <c r="B56" s="4"/>
      <c r="C56" s="4"/>
      <c r="D56" s="4"/>
      <c r="E56" s="137"/>
      <c r="G56" s="66"/>
    </row>
    <row r="57" spans="1:7" ht="21">
      <c r="A57" s="4"/>
      <c r="B57" s="4"/>
      <c r="C57" s="4"/>
      <c r="D57" s="4"/>
      <c r="E57" s="137"/>
    </row>
    <row r="58" spans="1:7" ht="21">
      <c r="A58" s="4"/>
      <c r="B58" s="4"/>
      <c r="C58" s="4"/>
      <c r="D58" s="4"/>
      <c r="E58" s="137"/>
    </row>
  </sheetData>
  <mergeCells count="5">
    <mergeCell ref="E51:E53"/>
    <mergeCell ref="A1:R13"/>
    <mergeCell ref="A14:AC23"/>
    <mergeCell ref="S1:AC13"/>
    <mergeCell ref="A37:B48"/>
  </mergeCells>
  <hyperlinks>
    <hyperlink ref="A28" location="'TCO-bilar-köp-'!A1" display="Mall Bilar köp" xr:uid="{908F865B-25B8-4F67-8B63-B05F30E7987F}"/>
    <hyperlink ref="A29" location="'TCO-bilar leasing'!A1" display="Mall Bilar leasing" xr:uid="{42854B41-0614-450E-9188-563C31636982}"/>
    <hyperlink ref="A30" location="'Exempel El-Bensin 2500mil'!A1" display="Exempel EL-Bensin köp" xr:uid="{B1247F81-82CE-4891-85E0-A6DC5CAEA409}"/>
    <hyperlink ref="A31" location="'Exempel El-Bensin 4500mil'!A1" display="Exempel EL-Bensin köp" xr:uid="{45A574C4-2107-47B8-85A3-B81FA5ACD748}"/>
    <hyperlink ref="A32" location="'TCO-kalkyl-renhållningsfordon'!A1" display="Mall Arbetsfordon köp" xr:uid="{C916D2CE-FDB6-444B-8DD0-085914153939}"/>
    <hyperlink ref="A33" location="'TCO-kalkyl - kompaktlastare'!A1" display="Mall Arbetsmaskin köp" xr:uid="{3CC9F754-AC72-4026-9B62-C62EE4C9B8A9}"/>
    <hyperlink ref="A50" r:id="rId1" display="https://biodrivost.se/wp-content/uploads/2024/07/Vad_kostar_fordonsagandet_2024.pdf" xr:uid="{58E3C3D4-241D-46DC-A394-CA2E775DED25}"/>
  </hyperlink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81ADC1-607E-4452-A5B5-4EF7CBA09905}">
  <dimension ref="A1:P91"/>
  <sheetViews>
    <sheetView showGridLines="0" zoomScale="50" zoomScaleNormal="50" workbookViewId="0">
      <selection activeCell="B9" sqref="B9"/>
    </sheetView>
  </sheetViews>
  <sheetFormatPr defaultColWidth="8.77734375" defaultRowHeight="21"/>
  <cols>
    <col min="1" max="1" width="8.77734375" style="4"/>
    <col min="2" max="2" width="50.77734375" style="4" customWidth="1"/>
    <col min="3" max="6" width="25.77734375" style="4" customWidth="1"/>
    <col min="7" max="7" width="9" style="4" bestFit="1" customWidth="1"/>
    <col min="8" max="8" width="8.77734375" style="4"/>
    <col min="9" max="9" width="50.77734375" style="4" customWidth="1"/>
    <col min="10" max="13" width="25.77734375" style="4" customWidth="1"/>
    <col min="14" max="14" width="9" style="4" bestFit="1" customWidth="1"/>
    <col min="15" max="15" width="49.5546875" style="4" customWidth="1"/>
    <col min="16" max="16384" width="8.77734375" style="4"/>
  </cols>
  <sheetData>
    <row r="1" spans="1:15" s="9" customFormat="1" ht="24" customHeight="1">
      <c r="A1" s="4"/>
      <c r="B1" s="46"/>
      <c r="C1" s="194" t="s">
        <v>6</v>
      </c>
      <c r="D1" s="195"/>
      <c r="E1" s="195"/>
      <c r="F1" s="195"/>
      <c r="G1" s="195"/>
      <c r="H1" s="195"/>
      <c r="I1" s="195"/>
      <c r="J1" s="49"/>
      <c r="K1" s="49"/>
      <c r="L1" s="6"/>
      <c r="M1" s="6"/>
      <c r="N1" s="6"/>
      <c r="O1" s="6"/>
    </row>
    <row r="2" spans="1:15" s="9" customFormat="1" ht="30" customHeight="1">
      <c r="A2" s="4"/>
      <c r="B2" s="46"/>
      <c r="C2" s="195"/>
      <c r="D2" s="195"/>
      <c r="E2" s="195"/>
      <c r="F2" s="195"/>
      <c r="G2" s="195"/>
      <c r="H2" s="195"/>
      <c r="I2" s="195"/>
      <c r="J2" s="52">
        <v>45261</v>
      </c>
      <c r="K2" s="49"/>
      <c r="L2" s="6"/>
      <c r="M2" s="6"/>
      <c r="N2" s="6"/>
      <c r="O2" s="6"/>
    </row>
    <row r="3" spans="1:15" s="9" customFormat="1" ht="27" customHeight="1">
      <c r="A3" s="4"/>
      <c r="B3" s="46"/>
      <c r="C3" s="195"/>
      <c r="D3" s="195"/>
      <c r="E3" s="195"/>
      <c r="F3" s="195"/>
      <c r="G3" s="195"/>
      <c r="H3" s="195"/>
      <c r="I3" s="195"/>
      <c r="J3" s="196" t="s">
        <v>7</v>
      </c>
      <c r="K3" s="196"/>
      <c r="L3" s="6"/>
      <c r="M3" s="6"/>
      <c r="N3" s="6"/>
      <c r="O3" s="6"/>
    </row>
    <row r="4" spans="1:15" s="9" customFormat="1" ht="28.05" customHeight="1">
      <c r="A4" s="4"/>
      <c r="B4" s="46"/>
      <c r="C4" s="195"/>
      <c r="D4" s="195"/>
      <c r="E4" s="195"/>
      <c r="F4" s="195"/>
      <c r="G4" s="195"/>
      <c r="H4" s="195"/>
      <c r="I4" s="195"/>
      <c r="J4" s="197" t="s">
        <v>8</v>
      </c>
      <c r="K4" s="197"/>
      <c r="L4" s="6"/>
      <c r="M4" s="6"/>
      <c r="N4" s="6"/>
      <c r="O4" s="6"/>
    </row>
    <row r="5" spans="1:15" s="9" customFormat="1" ht="33" customHeight="1">
      <c r="A5" s="4"/>
      <c r="B5" s="46"/>
      <c r="C5" s="198" t="s">
        <v>130</v>
      </c>
      <c r="D5" s="198"/>
      <c r="E5" s="198"/>
      <c r="F5" s="198"/>
      <c r="G5" s="198"/>
      <c r="H5" s="198"/>
      <c r="I5" s="198"/>
      <c r="J5" s="199" t="s">
        <v>9</v>
      </c>
      <c r="K5" s="199"/>
      <c r="L5" s="6"/>
      <c r="M5" s="6"/>
      <c r="N5" s="6"/>
      <c r="O5" s="6"/>
    </row>
    <row r="6" spans="1:15" s="9" customFormat="1" ht="33" customHeight="1">
      <c r="A6" s="4"/>
      <c r="B6" s="46"/>
      <c r="C6" s="200" t="s">
        <v>10</v>
      </c>
      <c r="D6" s="200"/>
      <c r="E6" s="200"/>
      <c r="F6" s="200"/>
      <c r="G6" s="200"/>
      <c r="H6" s="200"/>
      <c r="I6" s="200"/>
      <c r="J6" s="201" t="s">
        <v>11</v>
      </c>
      <c r="K6" s="201"/>
      <c r="L6" s="6"/>
      <c r="M6" s="6"/>
      <c r="N6" s="6"/>
      <c r="O6" s="6"/>
    </row>
    <row r="7" spans="1:15" s="10" customFormat="1" ht="24" customHeight="1">
      <c r="A7" s="47"/>
      <c r="B7" s="48"/>
      <c r="C7" s="50"/>
      <c r="D7" s="50"/>
      <c r="E7" s="50"/>
      <c r="F7" s="50"/>
      <c r="G7" s="51"/>
      <c r="H7" s="51"/>
      <c r="I7" s="51"/>
      <c r="J7" s="51"/>
      <c r="K7" s="51"/>
      <c r="L7" s="7"/>
      <c r="M7" s="7"/>
      <c r="N7" s="7"/>
      <c r="O7" s="7"/>
    </row>
    <row r="8" spans="1:15" ht="22.05" customHeight="1">
      <c r="C8" s="178" t="s">
        <v>126</v>
      </c>
    </row>
    <row r="9" spans="1:15" s="1" customFormat="1" ht="33.6">
      <c r="B9" s="2" t="s">
        <v>12</v>
      </c>
      <c r="I9" s="2" t="s">
        <v>13</v>
      </c>
    </row>
    <row r="10" spans="1:15">
      <c r="D10" s="16"/>
    </row>
    <row r="11" spans="1:15">
      <c r="B11" s="4" t="s">
        <v>14</v>
      </c>
      <c r="C11" s="21" t="s">
        <v>106</v>
      </c>
      <c r="I11" s="4" t="s">
        <v>14</v>
      </c>
      <c r="J11" s="21" t="s">
        <v>22</v>
      </c>
    </row>
    <row r="12" spans="1:15" ht="22.05" customHeight="1">
      <c r="B12" s="17" t="s">
        <v>15</v>
      </c>
      <c r="C12" s="20">
        <v>450000</v>
      </c>
      <c r="D12" s="33"/>
      <c r="E12" s="11"/>
      <c r="F12" s="11"/>
      <c r="G12" s="11"/>
      <c r="H12" s="11"/>
      <c r="I12" s="4" t="s">
        <v>15</v>
      </c>
      <c r="J12" s="43">
        <v>450000</v>
      </c>
      <c r="K12" s="35"/>
      <c r="L12" s="11"/>
      <c r="M12" s="11"/>
      <c r="N12" s="11"/>
      <c r="O12" s="40"/>
    </row>
    <row r="13" spans="1:15" ht="22.05" customHeight="1">
      <c r="B13" s="17" t="s">
        <v>16</v>
      </c>
      <c r="C13" s="42">
        <v>5</v>
      </c>
      <c r="D13" s="34"/>
      <c r="E13" s="11"/>
      <c r="F13" s="11"/>
      <c r="G13" s="11"/>
      <c r="H13" s="11"/>
      <c r="I13" s="4" t="s">
        <v>16</v>
      </c>
      <c r="J13" s="22">
        <v>5</v>
      </c>
      <c r="K13" s="35"/>
      <c r="L13" s="11"/>
      <c r="M13" s="11"/>
      <c r="N13" s="11"/>
      <c r="O13" s="40"/>
    </row>
    <row r="14" spans="1:15" ht="22.05" customHeight="1">
      <c r="B14" s="17" t="s">
        <v>17</v>
      </c>
      <c r="C14" s="20">
        <v>2000</v>
      </c>
      <c r="D14" s="35"/>
      <c r="E14" s="11"/>
      <c r="F14" s="11"/>
      <c r="G14" s="11"/>
      <c r="H14" s="11"/>
      <c r="I14" s="4" t="s">
        <v>17</v>
      </c>
      <c r="J14" s="22">
        <v>2000</v>
      </c>
      <c r="K14" s="35"/>
      <c r="L14" s="11"/>
      <c r="M14" s="11"/>
      <c r="N14" s="11"/>
      <c r="O14" s="41"/>
    </row>
    <row r="15" spans="1:15" ht="22.05" customHeight="1">
      <c r="B15" s="17" t="s">
        <v>18</v>
      </c>
      <c r="C15" s="23" t="s">
        <v>19</v>
      </c>
      <c r="D15" s="35" t="s">
        <v>19</v>
      </c>
      <c r="E15" s="12" t="s">
        <v>20</v>
      </c>
      <c r="F15" s="12" t="s">
        <v>21</v>
      </c>
      <c r="G15" s="12" t="s">
        <v>22</v>
      </c>
      <c r="H15" s="12" t="s">
        <v>23</v>
      </c>
      <c r="I15" s="4" t="s">
        <v>18</v>
      </c>
      <c r="J15" s="24" t="s">
        <v>22</v>
      </c>
      <c r="K15" s="35" t="s">
        <v>19</v>
      </c>
      <c r="L15" s="12" t="s">
        <v>20</v>
      </c>
      <c r="M15" s="12" t="s">
        <v>21</v>
      </c>
      <c r="N15" s="12" t="s">
        <v>22</v>
      </c>
      <c r="O15" s="40"/>
    </row>
    <row r="16" spans="1:15" ht="22.05" customHeight="1">
      <c r="B16" s="17" t="s">
        <v>24</v>
      </c>
      <c r="C16" s="20">
        <v>60</v>
      </c>
      <c r="D16" s="35"/>
      <c r="E16" s="11"/>
      <c r="F16" s="11"/>
      <c r="G16" s="11"/>
      <c r="H16" s="11"/>
      <c r="I16" s="4" t="s">
        <v>24</v>
      </c>
      <c r="J16" s="22">
        <v>60</v>
      </c>
      <c r="K16" s="35"/>
      <c r="L16" s="11"/>
      <c r="M16" s="11"/>
      <c r="N16" s="11"/>
    </row>
    <row r="17" spans="2:14" ht="22.05" customHeight="1">
      <c r="B17" s="17" t="s">
        <v>25</v>
      </c>
      <c r="C17" s="20">
        <v>4</v>
      </c>
      <c r="D17" s="35"/>
      <c r="E17" s="11"/>
      <c r="F17" s="11"/>
      <c r="G17" s="11"/>
      <c r="H17" s="11"/>
      <c r="I17" s="4" t="s">
        <v>25</v>
      </c>
      <c r="J17" s="22">
        <v>4</v>
      </c>
      <c r="K17" s="35"/>
      <c r="L17" s="11"/>
      <c r="M17" s="11"/>
      <c r="N17" s="11"/>
    </row>
    <row r="18" spans="2:14" ht="22.05" customHeight="1">
      <c r="B18" s="17" t="s">
        <v>26</v>
      </c>
      <c r="C18" s="20">
        <v>5000</v>
      </c>
      <c r="D18" s="35"/>
      <c r="E18" s="11"/>
      <c r="F18" s="11"/>
      <c r="G18" s="11"/>
      <c r="H18" s="11"/>
      <c r="I18" s="4" t="s">
        <v>26</v>
      </c>
      <c r="J18" s="22">
        <v>5000</v>
      </c>
      <c r="K18" s="35"/>
      <c r="L18" s="11"/>
      <c r="M18" s="11"/>
      <c r="N18" s="11"/>
    </row>
    <row r="19" spans="2:14" ht="22.05" customHeight="1">
      <c r="B19" s="17" t="s">
        <v>27</v>
      </c>
      <c r="C19" s="20">
        <v>10000</v>
      </c>
      <c r="D19" s="35"/>
      <c r="E19" s="11"/>
      <c r="F19" s="11"/>
      <c r="G19" s="11"/>
      <c r="H19" s="11"/>
      <c r="I19" s="4" t="s">
        <v>27</v>
      </c>
      <c r="J19" s="22">
        <v>10000</v>
      </c>
      <c r="K19" s="35"/>
      <c r="L19" s="11"/>
      <c r="M19" s="11"/>
      <c r="N19" s="11"/>
    </row>
    <row r="20" spans="2:14" ht="22.05" customHeight="1">
      <c r="B20" s="17" t="s">
        <v>28</v>
      </c>
      <c r="C20" s="20">
        <v>0</v>
      </c>
      <c r="D20" s="35"/>
      <c r="E20" s="11"/>
      <c r="F20" s="11"/>
      <c r="G20" s="11"/>
      <c r="H20" s="11"/>
      <c r="I20" s="4" t="s">
        <v>28</v>
      </c>
      <c r="J20" s="22">
        <v>150</v>
      </c>
      <c r="K20" s="35"/>
      <c r="L20" s="11"/>
      <c r="M20" s="11"/>
      <c r="N20" s="11"/>
    </row>
    <row r="21" spans="2:14" ht="22.05" customHeight="1">
      <c r="B21" s="17" t="s">
        <v>29</v>
      </c>
      <c r="C21" s="20">
        <v>1.8</v>
      </c>
      <c r="D21" s="35">
        <f>IF($C$15="El",C21,0)</f>
        <v>1.8</v>
      </c>
      <c r="E21" s="11"/>
      <c r="F21" s="11"/>
      <c r="G21" s="11"/>
      <c r="H21" s="11"/>
      <c r="I21" s="4" t="s">
        <v>29</v>
      </c>
      <c r="J21" s="22">
        <v>0</v>
      </c>
      <c r="K21" s="35">
        <f>IF($J$15="El",J21,0)</f>
        <v>0</v>
      </c>
      <c r="L21" s="11"/>
      <c r="M21" s="11"/>
      <c r="N21" s="11"/>
    </row>
    <row r="22" spans="2:14" ht="22.05" customHeight="1">
      <c r="B22" s="17" t="s">
        <v>30</v>
      </c>
      <c r="C22" s="20">
        <v>0</v>
      </c>
      <c r="D22" s="35">
        <f>IF($C$15="Gas",C22,0)</f>
        <v>0</v>
      </c>
      <c r="E22" s="11"/>
      <c r="F22" s="11"/>
      <c r="G22" s="11"/>
      <c r="H22" s="11"/>
      <c r="I22" s="4" t="s">
        <v>30</v>
      </c>
      <c r="J22" s="22">
        <v>0</v>
      </c>
      <c r="K22" s="35">
        <f>IF($J$15="Gas",J22,0)</f>
        <v>0</v>
      </c>
      <c r="L22" s="11"/>
      <c r="M22" s="11"/>
      <c r="N22" s="11"/>
    </row>
    <row r="23" spans="2:14" ht="22.05" customHeight="1">
      <c r="B23" s="17" t="s">
        <v>31</v>
      </c>
      <c r="C23" s="20">
        <v>0</v>
      </c>
      <c r="D23" s="35">
        <f>IF($C$15="Diesel",C23,0)</f>
        <v>0</v>
      </c>
      <c r="E23" s="11"/>
      <c r="F23" s="11"/>
      <c r="G23" s="11"/>
      <c r="H23" s="11"/>
      <c r="I23" s="4" t="s">
        <v>31</v>
      </c>
      <c r="J23" s="22">
        <v>0</v>
      </c>
      <c r="K23" s="35">
        <f>IF($J$15="Diesel",J23,0)</f>
        <v>0</v>
      </c>
      <c r="L23" s="11"/>
      <c r="M23" s="11"/>
      <c r="N23" s="11"/>
    </row>
    <row r="24" spans="2:14" ht="22.05" customHeight="1">
      <c r="B24" s="17" t="s">
        <v>32</v>
      </c>
      <c r="C24" s="20">
        <v>0</v>
      </c>
      <c r="D24" s="35">
        <f>IF($C$15="Bensin",C24,0)+IF($C$15="Gas",C24,0)</f>
        <v>0</v>
      </c>
      <c r="E24" s="11"/>
      <c r="F24" s="11"/>
      <c r="G24" s="11"/>
      <c r="H24" s="11"/>
      <c r="I24" s="4" t="s">
        <v>32</v>
      </c>
      <c r="J24" s="22">
        <v>0.7</v>
      </c>
      <c r="K24" s="35">
        <f>IF($J$15="Bensin",J24,0)+IF($J$15="Gas",J24,0)</f>
        <v>0.7</v>
      </c>
      <c r="L24" s="11"/>
      <c r="M24" s="11"/>
      <c r="N24" s="11"/>
    </row>
    <row r="25" spans="2:14" ht="22.05" customHeight="1">
      <c r="B25" s="17" t="s">
        <v>33</v>
      </c>
      <c r="C25" s="20">
        <v>0</v>
      </c>
      <c r="D25" s="35">
        <f>IF($C$15="HVO100",C25,0)</f>
        <v>0</v>
      </c>
      <c r="E25" s="11"/>
      <c r="F25" s="11"/>
      <c r="G25" s="11"/>
      <c r="H25" s="11"/>
      <c r="I25" s="4" t="s">
        <v>33</v>
      </c>
      <c r="J25" s="22">
        <v>0</v>
      </c>
      <c r="K25" s="35">
        <f>IF($J$15="HVO100",J25,0)</f>
        <v>0</v>
      </c>
      <c r="L25" s="11"/>
      <c r="M25" s="11"/>
      <c r="N25" s="11"/>
    </row>
    <row r="26" spans="2:14" ht="22.05" customHeight="1">
      <c r="B26" s="17" t="s">
        <v>34</v>
      </c>
      <c r="C26" s="23" t="s">
        <v>35</v>
      </c>
      <c r="D26" s="35" t="s">
        <v>36</v>
      </c>
      <c r="E26" s="12" t="s">
        <v>37</v>
      </c>
      <c r="F26" s="12" t="s">
        <v>35</v>
      </c>
      <c r="G26" s="12">
        <f>IF(C26="Fullt",0.8,IF(C26="Halvt",0.8888,1))</f>
        <v>1</v>
      </c>
      <c r="H26" s="11"/>
      <c r="I26" s="4" t="s">
        <v>34</v>
      </c>
      <c r="J26" s="24" t="s">
        <v>35</v>
      </c>
      <c r="K26" s="35" t="s">
        <v>36</v>
      </c>
      <c r="L26" s="12" t="s">
        <v>37</v>
      </c>
      <c r="M26" s="12" t="s">
        <v>35</v>
      </c>
      <c r="N26" s="12">
        <f>IF(J26="Fullt",0.8,IF(J26="Halvt",0.8888,1))</f>
        <v>1</v>
      </c>
    </row>
    <row r="27" spans="2:14" ht="22.05" customHeight="1">
      <c r="B27" s="17" t="s">
        <v>38</v>
      </c>
      <c r="C27" s="20">
        <v>0</v>
      </c>
      <c r="D27" s="35"/>
      <c r="E27" s="12"/>
      <c r="F27" s="12"/>
      <c r="G27" s="12"/>
      <c r="H27" s="11"/>
      <c r="I27" s="4" t="s">
        <v>38</v>
      </c>
      <c r="J27" s="22">
        <v>0</v>
      </c>
      <c r="K27" s="35"/>
      <c r="L27" s="12"/>
      <c r="M27" s="12"/>
      <c r="N27" s="12"/>
    </row>
    <row r="28" spans="2:14" ht="22.05" customHeight="1">
      <c r="B28" s="17" t="s">
        <v>39</v>
      </c>
      <c r="C28" s="20"/>
      <c r="D28" s="35"/>
      <c r="E28" s="11"/>
      <c r="F28"/>
      <c r="G28" s="11"/>
      <c r="H28" s="11"/>
      <c r="I28" s="4" t="s">
        <v>39</v>
      </c>
      <c r="J28" s="22"/>
      <c r="K28" s="35"/>
      <c r="L28" s="11"/>
      <c r="M28" s="11"/>
      <c r="N28" s="11"/>
    </row>
    <row r="29" spans="2:14" ht="22.05" customHeight="1">
      <c r="B29" s="17" t="s">
        <v>40</v>
      </c>
      <c r="C29" s="20">
        <v>1.5</v>
      </c>
      <c r="D29" s="35"/>
      <c r="E29" s="11"/>
      <c r="F29" s="11"/>
      <c r="G29" s="11"/>
      <c r="H29" s="11"/>
      <c r="I29" s="4" t="s">
        <v>40</v>
      </c>
      <c r="J29" s="22">
        <v>1.5</v>
      </c>
      <c r="K29" s="35"/>
      <c r="L29" s="11"/>
      <c r="M29" s="11"/>
      <c r="N29" s="11"/>
    </row>
    <row r="30" spans="2:14" ht="22.05" customHeight="1">
      <c r="D30" s="45"/>
      <c r="K30" s="12"/>
      <c r="L30" s="11"/>
      <c r="M30" s="11"/>
      <c r="N30" s="11"/>
    </row>
    <row r="33" spans="2:14" s="32" customFormat="1">
      <c r="C33" s="25" t="s">
        <v>41</v>
      </c>
      <c r="D33" s="25" t="s">
        <v>42</v>
      </c>
      <c r="E33" s="25"/>
      <c r="F33" s="25"/>
      <c r="G33" s="25"/>
      <c r="H33" s="25"/>
      <c r="I33" s="25"/>
      <c r="J33" s="25" t="s">
        <v>41</v>
      </c>
      <c r="K33" s="25" t="s">
        <v>42</v>
      </c>
    </row>
    <row r="34" spans="2:14" ht="5.0999999999999996" customHeight="1"/>
    <row r="35" spans="2:14" ht="22.05" customHeight="1">
      <c r="B35" s="4" t="s">
        <v>43</v>
      </c>
      <c r="C35" s="37">
        <f>(((G26*(C12-C30-((C27/100)*C12)))*(1-(C16/200))*(C17/100)))*C13</f>
        <v>63000</v>
      </c>
      <c r="D35" s="38">
        <f>C35/$C$13</f>
        <v>12600</v>
      </c>
      <c r="E35" s="11"/>
      <c r="F35" s="11"/>
      <c r="G35" s="11"/>
      <c r="H35" s="11"/>
      <c r="I35" s="4" t="s">
        <v>43</v>
      </c>
      <c r="J35" s="37">
        <f>(((N26*(J12-J30-((J27/100)*J12)))*(1-(J16/200))*(J17/100)))*J13</f>
        <v>63000</v>
      </c>
      <c r="K35" s="38">
        <f>J35/$J$13</f>
        <v>12600</v>
      </c>
      <c r="L35" s="11"/>
      <c r="M35" s="11"/>
      <c r="N35" s="11"/>
    </row>
    <row r="36" spans="2:14" ht="22.05" customHeight="1">
      <c r="B36" s="4" t="s">
        <v>44</v>
      </c>
      <c r="C36" s="36">
        <f>(G26*(C12-((C27/100)*C12)))*(C16/100)</f>
        <v>270000</v>
      </c>
      <c r="D36" s="38">
        <f t="shared" ref="D36:D39" si="0">C36/$C$13</f>
        <v>54000</v>
      </c>
      <c r="E36" s="11"/>
      <c r="F36" s="11"/>
      <c r="G36" s="11"/>
      <c r="H36" s="11"/>
      <c r="I36" s="4" t="s">
        <v>44</v>
      </c>
      <c r="J36" s="37">
        <f>(N26*(J12-((J27/100)*J12)))*(J16/100)</f>
        <v>270000</v>
      </c>
      <c r="K36" s="38">
        <f t="shared" ref="K36:K40" si="1">J36/$J$13</f>
        <v>54000</v>
      </c>
      <c r="L36" s="11"/>
      <c r="M36" s="11"/>
      <c r="N36" s="11"/>
    </row>
    <row r="37" spans="2:14" ht="22.05" customHeight="1">
      <c r="B37" s="4" t="s">
        <v>45</v>
      </c>
      <c r="C37" s="37">
        <f>C13*C14*D21*(0.8*F63)+C13*C14*D22*(0.8*F64)+C13*C14*D23*(F65*0.8)+C13*C14*D24*(F66*0.8)+C13*C14*D25*(F67*0.8)</f>
        <v>27599.207132160038</v>
      </c>
      <c r="D37" s="38">
        <f t="shared" si="0"/>
        <v>5519.8414264320072</v>
      </c>
      <c r="E37" s="11"/>
      <c r="F37" s="11"/>
      <c r="G37" s="11"/>
      <c r="H37" s="11"/>
      <c r="I37" s="4" t="s">
        <v>45</v>
      </c>
      <c r="J37" s="37">
        <f>J13*J14*K21*(0.8*M63)+J13*J14*K22*(0.8*M64)+J13*J14*K23*(M65*0.8)+J13*J14*K24*(M66*0.8)+J13*J14*K25*(M67*0.8)</f>
        <v>105208.01900000006</v>
      </c>
      <c r="K37" s="38">
        <f t="shared" si="1"/>
        <v>21041.603800000012</v>
      </c>
      <c r="L37" s="11"/>
      <c r="M37" s="11"/>
      <c r="N37" s="11"/>
    </row>
    <row r="38" spans="2:14" ht="22.05" customHeight="1">
      <c r="B38" s="4" t="s">
        <v>46</v>
      </c>
      <c r="C38" s="36">
        <f>IF(C15="El",(3*C50+E38*C51),IF(C15="Gas",(3*D50+E38*D51),IF(C15="Diesel",(3*E50+E38*E51),IF(C15="Bensin",(3*F50+E38*F51),IF(C15="HVO100",(3*E50+E38*E51))))))</f>
        <v>1800</v>
      </c>
      <c r="D38" s="38">
        <f t="shared" si="0"/>
        <v>360</v>
      </c>
      <c r="E38" s="12">
        <f>IF(C13&lt;4,0,(C13-3))</f>
        <v>2</v>
      </c>
      <c r="F38" s="11"/>
      <c r="G38" s="11"/>
      <c r="H38" s="11"/>
      <c r="I38" s="4" t="s">
        <v>46</v>
      </c>
      <c r="J38" s="36">
        <f>IF(J15="El",(3*J50+L38*J51),IF(J15="Gas",(3*K50+L38*K51),IF(J15="Diesel",(3*L50+L38*L51),IF(J15="Bensin",(3*M50+L38*M51),IF(J15="HVO100",(3*L50+L38*L51))))))</f>
        <v>29466</v>
      </c>
      <c r="K38" s="38">
        <f t="shared" si="1"/>
        <v>5893.2</v>
      </c>
      <c r="L38" s="12">
        <f>IF(J13&lt;4,0,(J13-3))</f>
        <v>2</v>
      </c>
      <c r="M38" s="11"/>
      <c r="N38" s="11"/>
    </row>
    <row r="39" spans="2:14" ht="22.05" customHeight="1">
      <c r="B39" s="4" t="s">
        <v>47</v>
      </c>
      <c r="C39" s="36">
        <f>C13*C18</f>
        <v>25000</v>
      </c>
      <c r="D39" s="38">
        <f t="shared" si="0"/>
        <v>5000</v>
      </c>
      <c r="E39" s="11"/>
      <c r="F39" s="11"/>
      <c r="G39" s="11"/>
      <c r="H39" s="11"/>
      <c r="I39" s="4" t="s">
        <v>47</v>
      </c>
      <c r="J39" s="36">
        <f>J13*J18</f>
        <v>25000</v>
      </c>
      <c r="K39" s="38">
        <f t="shared" si="1"/>
        <v>5000</v>
      </c>
      <c r="L39" s="11"/>
      <c r="M39" s="11"/>
      <c r="N39" s="11"/>
    </row>
    <row r="40" spans="2:14" ht="22.05" customHeight="1">
      <c r="B40" s="4" t="s">
        <v>48</v>
      </c>
      <c r="C40" s="36">
        <f>C13*C19</f>
        <v>50000</v>
      </c>
      <c r="D40" s="38">
        <f>C40/C13</f>
        <v>10000</v>
      </c>
      <c r="E40" s="11"/>
      <c r="F40" s="11"/>
      <c r="G40" s="11"/>
      <c r="H40" s="11"/>
      <c r="I40" s="4" t="s">
        <v>48</v>
      </c>
      <c r="J40" s="36">
        <f>J13*J19</f>
        <v>50000</v>
      </c>
      <c r="K40" s="38">
        <f t="shared" si="1"/>
        <v>10000</v>
      </c>
      <c r="L40" s="11"/>
      <c r="M40" s="11"/>
      <c r="N40" s="11"/>
    </row>
    <row r="41" spans="2:14" ht="21.6" thickBot="1">
      <c r="D41" s="5"/>
      <c r="K41" s="5"/>
    </row>
    <row r="42" spans="2:14" ht="29.4" thickTop="1">
      <c r="B42" s="14" t="s">
        <v>49</v>
      </c>
      <c r="C42" s="15">
        <f>SUM(C35:C40)</f>
        <v>437399.20713216002</v>
      </c>
      <c r="D42" s="15">
        <f>SUM(D35:D40)</f>
        <v>87479.841426432002</v>
      </c>
      <c r="E42" s="55">
        <f>QUOTIENT(D42,C14)</f>
        <v>43</v>
      </c>
      <c r="F42" s="55" t="s">
        <v>50</v>
      </c>
      <c r="G42" s="3"/>
      <c r="H42" s="3"/>
      <c r="I42" s="26" t="s">
        <v>49</v>
      </c>
      <c r="J42" s="27">
        <f>SUM(J35:J40)</f>
        <v>542674.01900000009</v>
      </c>
      <c r="K42" s="27">
        <f>SUM(K35:K40)</f>
        <v>108534.80380000001</v>
      </c>
      <c r="L42" s="55">
        <f>QUOTIENT(K42,J14)</f>
        <v>54</v>
      </c>
      <c r="M42" s="55" t="s">
        <v>50</v>
      </c>
    </row>
    <row r="44" spans="2:14" s="8" customFormat="1" ht="30" customHeight="1">
      <c r="B44" s="18" t="s">
        <v>51</v>
      </c>
      <c r="C44" s="28">
        <f>D44*C13</f>
        <v>1260.0000000000002</v>
      </c>
      <c r="D44" s="28">
        <f>C14*D21*C73+C14*D22*C71+C14*D23*C69+C14*D24*C70+C14*D25*C72</f>
        <v>252.00000000000003</v>
      </c>
      <c r="E44" s="19"/>
      <c r="F44" s="19"/>
      <c r="G44" s="19"/>
      <c r="H44" s="19"/>
      <c r="I44" s="18" t="s">
        <v>51</v>
      </c>
      <c r="J44" s="28">
        <f>K44*J13</f>
        <v>20538</v>
      </c>
      <c r="K44" s="28">
        <f>J14*K21*C73+J14*K22*C71+J14*K23*C69+J14*K24*C70+J14*K25*C72</f>
        <v>4107.6000000000004</v>
      </c>
    </row>
    <row r="45" spans="2:14" s="8" customFormat="1" ht="30" customHeight="1">
      <c r="B45" s="18" t="s">
        <v>52</v>
      </c>
      <c r="C45" s="29">
        <f>C29*C44</f>
        <v>1890.0000000000005</v>
      </c>
      <c r="D45" s="29">
        <f>C29*D44</f>
        <v>378.00000000000006</v>
      </c>
      <c r="E45" s="19"/>
      <c r="F45" s="19"/>
      <c r="G45" s="19"/>
      <c r="H45" s="19"/>
      <c r="I45" s="18" t="s">
        <v>52</v>
      </c>
      <c r="J45" s="29">
        <f>J29*J44</f>
        <v>30807</v>
      </c>
      <c r="K45" s="29">
        <f>J29*K44</f>
        <v>6161.4000000000005</v>
      </c>
    </row>
    <row r="49" spans="2:13" s="13" customFormat="1" ht="18">
      <c r="C49" s="25" t="s">
        <v>19</v>
      </c>
      <c r="D49" s="25" t="s">
        <v>20</v>
      </c>
      <c r="E49" s="25" t="s">
        <v>21</v>
      </c>
      <c r="F49" s="25" t="s">
        <v>22</v>
      </c>
      <c r="J49" s="25" t="s">
        <v>19</v>
      </c>
      <c r="K49" s="25" t="s">
        <v>20</v>
      </c>
      <c r="L49" s="25" t="s">
        <v>21</v>
      </c>
      <c r="M49" s="25" t="s">
        <v>22</v>
      </c>
    </row>
    <row r="50" spans="2:13" ht="22.05" customHeight="1">
      <c r="B50" s="4" t="s">
        <v>53</v>
      </c>
      <c r="C50" s="37">
        <f>C53</f>
        <v>360</v>
      </c>
      <c r="D50" s="37">
        <f>IF(C20&gt;125,5350,(C20-75)*107)*(IF(C20&gt;75,1,0))+C53+IF(C20&lt;125,0,(C20-125)*132)</f>
        <v>360</v>
      </c>
      <c r="E50" s="37">
        <f>IF(C20&gt;125,5350,(C20-75)*107)*(IF(C20&gt;75,1,0))+C53+IF(C20&lt;125,0,(C20-125)*132)+C56+C57</f>
        <v>610</v>
      </c>
      <c r="F50" s="37">
        <f>IF(C20&gt;125,5350,(C20-75)*107)*(IF(C20&gt;75,1,0))+C53+IF(C20&lt;125,0,(C20-125)*132)</f>
        <v>360</v>
      </c>
      <c r="I50" s="4" t="s">
        <v>53</v>
      </c>
      <c r="J50" s="37">
        <f>J53</f>
        <v>360</v>
      </c>
      <c r="K50" s="37">
        <f>IF(J20&gt;125,5350,(J20-75)*107)*(IF(J20&gt;75,1,0))+J53+IF(J20&lt;125,0,(J20-125)*132)</f>
        <v>9010</v>
      </c>
      <c r="L50" s="37">
        <f>IF(J20&gt;125,5350,(J20-75)*107)*(IF(J20&gt;75,1,0))+J53+IF(J20&lt;125,0,(J20-125)*132)+J56+J57</f>
        <v>11288</v>
      </c>
      <c r="M50" s="37">
        <f>IF(J20&gt;125,5350,(J20-75)*107)*(IF(J20&gt;75,1,0))+J53+IF(J20&lt;125,0,(J20-125)*132)</f>
        <v>9010</v>
      </c>
    </row>
    <row r="51" spans="2:13" ht="22.05" customHeight="1">
      <c r="B51" s="4" t="s">
        <v>54</v>
      </c>
      <c r="C51" s="37">
        <f>C53</f>
        <v>360</v>
      </c>
      <c r="D51" s="37">
        <f>IF(C20&lt;111,0,(C20-111)*11)+C53</f>
        <v>360</v>
      </c>
      <c r="E51" s="37">
        <f>IF(C20&lt;111,0,(C20-111)*22)+C53+C56+C57</f>
        <v>610</v>
      </c>
      <c r="F51" s="37">
        <f>IF(C20&lt;111,0,(C20-111)*22)+C53</f>
        <v>360</v>
      </c>
      <c r="I51" s="4" t="s">
        <v>54</v>
      </c>
      <c r="J51" s="37">
        <f>J53</f>
        <v>360</v>
      </c>
      <c r="K51" s="37">
        <f>IF(J20&lt;111,0,(J20-111)*11)+J53</f>
        <v>789</v>
      </c>
      <c r="L51" s="37">
        <f>IF(J20&lt;111,0,(J20-111)*22)+J53+J56+J57</f>
        <v>3496</v>
      </c>
      <c r="M51" s="37">
        <f>IF(J20&lt;111,0,(J20-111)*22)+J53</f>
        <v>1218</v>
      </c>
    </row>
    <row r="52" spans="2:13" ht="22.05" customHeight="1"/>
    <row r="53" spans="2:13" ht="22.05" customHeight="1">
      <c r="B53" s="4" t="s">
        <v>55</v>
      </c>
      <c r="C53" s="39">
        <v>360</v>
      </c>
      <c r="I53" s="4" t="s">
        <v>55</v>
      </c>
      <c r="J53" s="39">
        <v>360</v>
      </c>
    </row>
    <row r="54" spans="2:13" ht="22.05" customHeight="1">
      <c r="B54" s="4" t="s">
        <v>103</v>
      </c>
      <c r="C54" s="39">
        <v>107</v>
      </c>
      <c r="I54" s="4" t="s">
        <v>103</v>
      </c>
      <c r="J54" s="39">
        <v>107</v>
      </c>
    </row>
    <row r="55" spans="2:13" ht="22.05" customHeight="1">
      <c r="B55" s="4" t="s">
        <v>104</v>
      </c>
      <c r="C55" s="39">
        <v>132</v>
      </c>
      <c r="I55" s="4" t="s">
        <v>104</v>
      </c>
      <c r="J55" s="39">
        <v>132</v>
      </c>
    </row>
    <row r="56" spans="2:13" ht="22.05" customHeight="1">
      <c r="B56" s="4" t="s">
        <v>56</v>
      </c>
      <c r="C56" s="39">
        <f>C20*13.52</f>
        <v>0</v>
      </c>
      <c r="I56" s="4" t="s">
        <v>56</v>
      </c>
      <c r="J56" s="39">
        <f>J20*13.52</f>
        <v>2028</v>
      </c>
    </row>
    <row r="57" spans="2:13" ht="22.05" customHeight="1">
      <c r="B57" s="4" t="s">
        <v>57</v>
      </c>
      <c r="C57" s="39">
        <v>250</v>
      </c>
      <c r="I57" s="4" t="s">
        <v>57</v>
      </c>
      <c r="J57" s="39">
        <v>250</v>
      </c>
    </row>
    <row r="58" spans="2:13" ht="22.05" customHeight="1">
      <c r="C58" s="39"/>
      <c r="J58" s="39"/>
    </row>
    <row r="59" spans="2:13" s="81" customFormat="1">
      <c r="F59" s="202" t="s">
        <v>86</v>
      </c>
    </row>
    <row r="60" spans="2:13" s="81" customFormat="1">
      <c r="F60" s="202"/>
    </row>
    <row r="61" spans="2:13" s="81" customFormat="1" ht="23.4">
      <c r="B61" s="121" t="s">
        <v>87</v>
      </c>
      <c r="C61" s="122"/>
      <c r="D61" s="122"/>
      <c r="E61" s="122"/>
      <c r="F61" s="203"/>
      <c r="G61" s="122"/>
      <c r="H61" s="122"/>
      <c r="I61" s="121" t="s">
        <v>87</v>
      </c>
      <c r="J61" s="122"/>
      <c r="K61" s="122"/>
      <c r="L61" s="122"/>
      <c r="M61" s="122"/>
    </row>
    <row r="62" spans="2:13" s="81" customFormat="1">
      <c r="C62" s="123" t="s">
        <v>88</v>
      </c>
      <c r="D62" s="123" t="s">
        <v>89</v>
      </c>
      <c r="E62" s="81" t="s">
        <v>90</v>
      </c>
      <c r="F62" s="203"/>
      <c r="J62" s="123" t="s">
        <v>88</v>
      </c>
      <c r="K62" s="123" t="s">
        <v>89</v>
      </c>
      <c r="L62" s="81" t="s">
        <v>90</v>
      </c>
      <c r="M62" s="81" t="s">
        <v>98</v>
      </c>
    </row>
    <row r="63" spans="2:13" s="81" customFormat="1" ht="22.05" customHeight="1">
      <c r="B63" s="81" t="s">
        <v>91</v>
      </c>
      <c r="C63" s="124">
        <v>1.7</v>
      </c>
      <c r="D63" s="124">
        <v>6</v>
      </c>
      <c r="E63" s="109">
        <f>C13</f>
        <v>5</v>
      </c>
      <c r="F63" s="136">
        <f>C63 * ((1 + D63 / 100) ^ E63 - 1) / (E63 * (D63 / 100))</f>
        <v>1.9166116064000027</v>
      </c>
      <c r="I63" s="81" t="s">
        <v>91</v>
      </c>
      <c r="J63" s="124">
        <v>1.7</v>
      </c>
      <c r="K63" s="124">
        <v>6</v>
      </c>
      <c r="L63" s="109">
        <f>J13</f>
        <v>5</v>
      </c>
      <c r="M63" s="136">
        <f>J63 * ((1 + K63 / 100) ^ L63 - 1) / (L63 * (K63 / 100))</f>
        <v>1.9166116064000027</v>
      </c>
    </row>
    <row r="64" spans="2:13" s="81" customFormat="1" ht="22.05" customHeight="1">
      <c r="B64" s="81" t="s">
        <v>58</v>
      </c>
      <c r="C64" s="124">
        <v>30</v>
      </c>
      <c r="D64" s="124">
        <v>5.5</v>
      </c>
      <c r="E64" s="109">
        <f>C13</f>
        <v>5</v>
      </c>
      <c r="F64" s="136">
        <f>C64 * ((1 + D64 / 100) ^ E64 - 1) / (E64 * (D64 / 100))</f>
        <v>33.48654615374997</v>
      </c>
      <c r="I64" s="81" t="s">
        <v>58</v>
      </c>
      <c r="J64" s="124">
        <v>30</v>
      </c>
      <c r="K64" s="124">
        <v>5.5</v>
      </c>
      <c r="L64" s="109">
        <f>J13</f>
        <v>5</v>
      </c>
      <c r="M64" s="136">
        <f>J64 * ((1 + K64 / 100) ^ L64 - 1) / (L64 * (K64 / 100))</f>
        <v>33.48654615374997</v>
      </c>
    </row>
    <row r="65" spans="2:16" s="81" customFormat="1" ht="22.05" customHeight="1">
      <c r="B65" s="81" t="s">
        <v>59</v>
      </c>
      <c r="C65" s="124">
        <v>18</v>
      </c>
      <c r="D65" s="124">
        <v>7</v>
      </c>
      <c r="E65" s="109">
        <f>C13</f>
        <v>5</v>
      </c>
      <c r="F65" s="136">
        <f>C65 * ((1 + D65 / 100) ^ E65 - 1) / (E65 * (D65 / 100))</f>
        <v>20.702660436000006</v>
      </c>
      <c r="I65" s="81" t="s">
        <v>59</v>
      </c>
      <c r="J65" s="124">
        <v>18</v>
      </c>
      <c r="K65" s="124">
        <v>7</v>
      </c>
      <c r="L65" s="109">
        <f>J13</f>
        <v>5</v>
      </c>
      <c r="M65" s="136">
        <f>J65 * ((1 + K65 / 100) ^ L65 - 1) / (L65 * (K65 / 100))</f>
        <v>20.702660436000006</v>
      </c>
    </row>
    <row r="66" spans="2:16" s="81" customFormat="1" ht="22.05" customHeight="1">
      <c r="B66" s="81" t="s">
        <v>60</v>
      </c>
      <c r="C66" s="124">
        <v>17</v>
      </c>
      <c r="D66" s="124">
        <v>5</v>
      </c>
      <c r="E66" s="109">
        <f>C13</f>
        <v>5</v>
      </c>
      <c r="F66" s="136">
        <f>C66 * ((1 + D66 / 100) ^ E66 - 1) / (E66 * (D66 / 100))</f>
        <v>18.78714625000001</v>
      </c>
      <c r="I66" s="81" t="s">
        <v>60</v>
      </c>
      <c r="J66" s="124">
        <v>17</v>
      </c>
      <c r="K66" s="124">
        <v>5</v>
      </c>
      <c r="L66" s="109">
        <f>J13</f>
        <v>5</v>
      </c>
      <c r="M66" s="136">
        <f>J66 * ((1 + K66 / 100) ^ L66 - 1) / (L66 * (K66 / 100))</f>
        <v>18.78714625000001</v>
      </c>
    </row>
    <row r="67" spans="2:16" s="81" customFormat="1" ht="22.05" customHeight="1">
      <c r="B67" s="81" t="s">
        <v>61</v>
      </c>
      <c r="C67" s="124">
        <v>21</v>
      </c>
      <c r="D67" s="124">
        <v>9</v>
      </c>
      <c r="E67" s="109">
        <f>C13</f>
        <v>5</v>
      </c>
      <c r="F67" s="136">
        <f>C67 * ((1 + D67 / 100) ^ E67 - 1) / (E67 * (D67 / 100))</f>
        <v>25.135784562000026</v>
      </c>
      <c r="I67" s="81" t="s">
        <v>61</v>
      </c>
      <c r="J67" s="124">
        <v>21</v>
      </c>
      <c r="K67" s="124">
        <v>9</v>
      </c>
      <c r="L67" s="109">
        <f>J13</f>
        <v>5</v>
      </c>
      <c r="M67" s="136">
        <f>J67 * ((1 + K67 / 100) ^ L67 - 1) / (L67 * (K67 / 100))</f>
        <v>25.135784562000026</v>
      </c>
    </row>
    <row r="68" spans="2:16" ht="22.05" customHeight="1"/>
    <row r="69" spans="2:16" ht="22.05" customHeight="1">
      <c r="B69" s="4" t="s">
        <v>62</v>
      </c>
      <c r="C69" s="39">
        <v>2.6989999999999998</v>
      </c>
    </row>
    <row r="70" spans="2:16" ht="22.05" customHeight="1">
      <c r="B70" s="4" t="s">
        <v>63</v>
      </c>
      <c r="C70" s="39">
        <v>2.9340000000000002</v>
      </c>
    </row>
    <row r="71" spans="2:16" ht="22.05" customHeight="1">
      <c r="B71" s="4" t="s">
        <v>64</v>
      </c>
      <c r="C71" s="39">
        <v>0.59099999999999997</v>
      </c>
    </row>
    <row r="72" spans="2:16" ht="22.05" customHeight="1">
      <c r="B72" s="4" t="s">
        <v>65</v>
      </c>
      <c r="C72" s="39">
        <v>0.44900000000000001</v>
      </c>
    </row>
    <row r="73" spans="2:16" ht="22.05" customHeight="1">
      <c r="B73" s="4" t="s">
        <v>66</v>
      </c>
      <c r="C73" s="39">
        <v>7.0000000000000007E-2</v>
      </c>
    </row>
    <row r="76" spans="2:16">
      <c r="B76" s="30"/>
      <c r="C76" s="30"/>
      <c r="D76" s="30"/>
      <c r="E76" s="30"/>
      <c r="F76" s="30"/>
      <c r="G76" s="30"/>
      <c r="H76" s="30"/>
      <c r="I76" s="30"/>
      <c r="J76" s="30"/>
      <c r="K76" s="30"/>
      <c r="L76" s="30"/>
      <c r="M76" s="30"/>
      <c r="N76" s="30"/>
      <c r="O76" s="30"/>
      <c r="P76" s="30"/>
    </row>
    <row r="77" spans="2:16">
      <c r="B77" s="4" t="s">
        <v>67</v>
      </c>
    </row>
    <row r="79" spans="2:16">
      <c r="B79" s="31" t="s">
        <v>1</v>
      </c>
      <c r="I79" s="31" t="s">
        <v>68</v>
      </c>
    </row>
    <row r="80" spans="2:16" ht="5.0999999999999996" customHeight="1"/>
    <row r="81" spans="2:11" ht="50.1" customHeight="1">
      <c r="B81" s="193" t="s">
        <v>2</v>
      </c>
      <c r="C81" s="193"/>
      <c r="D81" s="193"/>
      <c r="E81" s="193"/>
      <c r="I81" s="192" t="s">
        <v>70</v>
      </c>
      <c r="J81" s="192"/>
      <c r="K81" s="192"/>
    </row>
    <row r="83" spans="2:11">
      <c r="B83" s="31"/>
      <c r="I83" s="31" t="s">
        <v>72</v>
      </c>
    </row>
    <row r="84" spans="2:11" ht="5.0999999999999996" customHeight="1"/>
    <row r="85" spans="2:11" ht="50.1" customHeight="1">
      <c r="B85" s="193"/>
      <c r="C85" s="193"/>
      <c r="D85" s="193"/>
      <c r="E85" s="193"/>
      <c r="I85" s="193" t="s">
        <v>73</v>
      </c>
      <c r="J85" s="193"/>
      <c r="K85" s="193"/>
    </row>
    <row r="86" spans="2:11">
      <c r="I86" s="31"/>
    </row>
    <row r="87" spans="2:11">
      <c r="B87" s="31" t="s">
        <v>4</v>
      </c>
      <c r="I87" s="44" t="s">
        <v>74</v>
      </c>
    </row>
    <row r="88" spans="2:11" ht="4.05" customHeight="1"/>
    <row r="89" spans="2:11" ht="22.05" customHeight="1">
      <c r="B89" s="192" t="s">
        <v>5</v>
      </c>
      <c r="C89" s="192"/>
      <c r="D89" s="192"/>
      <c r="E89" s="192"/>
      <c r="I89" s="193" t="s">
        <v>75</v>
      </c>
      <c r="J89" s="193"/>
      <c r="K89" s="193"/>
    </row>
    <row r="90" spans="2:11">
      <c r="B90" s="192"/>
      <c r="C90" s="192"/>
      <c r="D90" s="192"/>
      <c r="E90" s="192"/>
      <c r="I90" s="193"/>
      <c r="J90" s="193"/>
      <c r="K90" s="193"/>
    </row>
    <row r="91" spans="2:11" ht="74.099999999999994" customHeight="1"/>
  </sheetData>
  <mergeCells count="14">
    <mergeCell ref="B89:E90"/>
    <mergeCell ref="I89:K90"/>
    <mergeCell ref="C1:I4"/>
    <mergeCell ref="J3:K3"/>
    <mergeCell ref="J4:K4"/>
    <mergeCell ref="C5:I5"/>
    <mergeCell ref="J5:K5"/>
    <mergeCell ref="C6:I6"/>
    <mergeCell ref="J6:K6"/>
    <mergeCell ref="F59:F62"/>
    <mergeCell ref="B81:E81"/>
    <mergeCell ref="I81:K81"/>
    <mergeCell ref="B85:E85"/>
    <mergeCell ref="I85:K85"/>
  </mergeCells>
  <dataValidations count="2">
    <dataValidation type="list" allowBlank="1" showInputMessage="1" showErrorMessage="1" sqref="C15 J15" xr:uid="{B1157D74-9572-49B8-A4D0-AA5EC7757B14}">
      <formula1>$D$15:$H$15</formula1>
    </dataValidation>
    <dataValidation type="list" allowBlank="1" showInputMessage="1" showErrorMessage="1" sqref="C26 J26" xr:uid="{37493AC2-92F9-47BB-8D33-95013F28EE45}">
      <formula1>$D$26:$F$26</formula1>
    </dataValidation>
  </dataValidations>
  <hyperlinks>
    <hyperlink ref="C8" location="Info!A1" display="Till innehållsförteckning" xr:uid="{E385B495-371E-4AEF-B26E-5982866CB750}"/>
  </hyperlinks>
  <pageMargins left="1" right="1" top="1" bottom="1" header="0.5" footer="0.5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53F2EC-8B41-4BFF-9203-5CA4E611B629}">
  <dimension ref="A1:P95"/>
  <sheetViews>
    <sheetView showGridLines="0" zoomScale="40" zoomScaleNormal="40" workbookViewId="0">
      <selection activeCell="B9" sqref="B9"/>
    </sheetView>
  </sheetViews>
  <sheetFormatPr defaultColWidth="8.77734375" defaultRowHeight="21"/>
  <cols>
    <col min="1" max="1" width="8.77734375" style="4"/>
    <col min="2" max="2" width="50.77734375" style="4" customWidth="1"/>
    <col min="3" max="6" width="25.77734375" style="4" customWidth="1"/>
    <col min="7" max="7" width="9" style="4" bestFit="1" customWidth="1"/>
    <col min="8" max="8" width="8.77734375" style="4"/>
    <col min="9" max="9" width="50.77734375" style="4" customWidth="1"/>
    <col min="10" max="13" width="25.77734375" style="4" customWidth="1"/>
    <col min="14" max="14" width="9" style="4" bestFit="1" customWidth="1"/>
    <col min="15" max="15" width="49.5546875" style="4" customWidth="1"/>
    <col min="16" max="16384" width="8.77734375" style="4"/>
  </cols>
  <sheetData>
    <row r="1" spans="1:15" s="9" customFormat="1" ht="24" customHeight="1">
      <c r="A1" s="4"/>
      <c r="B1" s="46"/>
      <c r="C1" s="194" t="s">
        <v>6</v>
      </c>
      <c r="D1" s="195"/>
      <c r="E1" s="195"/>
      <c r="F1" s="195"/>
      <c r="G1" s="195"/>
      <c r="H1" s="195"/>
      <c r="I1" s="195"/>
      <c r="J1" s="49"/>
      <c r="K1" s="49"/>
      <c r="L1" s="6"/>
      <c r="M1" s="6"/>
      <c r="N1" s="6"/>
      <c r="O1" s="6"/>
    </row>
    <row r="2" spans="1:15" s="9" customFormat="1" ht="30" customHeight="1">
      <c r="A2" s="4"/>
      <c r="B2" s="46"/>
      <c r="C2" s="195"/>
      <c r="D2" s="195"/>
      <c r="E2" s="195"/>
      <c r="F2" s="195"/>
      <c r="G2" s="195"/>
      <c r="H2" s="195"/>
      <c r="I2" s="195"/>
      <c r="J2" s="52">
        <v>45261</v>
      </c>
      <c r="K2" s="49"/>
      <c r="L2" s="6"/>
      <c r="M2" s="6"/>
      <c r="N2" s="6"/>
      <c r="O2" s="6"/>
    </row>
    <row r="3" spans="1:15" s="9" customFormat="1" ht="27" customHeight="1">
      <c r="A3" s="4"/>
      <c r="B3" s="46"/>
      <c r="C3" s="195"/>
      <c r="D3" s="195"/>
      <c r="E3" s="195"/>
      <c r="F3" s="195"/>
      <c r="G3" s="195"/>
      <c r="H3" s="195"/>
      <c r="I3" s="195"/>
      <c r="J3" s="196" t="s">
        <v>7</v>
      </c>
      <c r="K3" s="196"/>
      <c r="L3" s="6"/>
      <c r="M3" s="6"/>
      <c r="N3" s="6"/>
      <c r="O3" s="6"/>
    </row>
    <row r="4" spans="1:15" s="9" customFormat="1" ht="28.05" customHeight="1">
      <c r="A4" s="4"/>
      <c r="B4" s="46"/>
      <c r="C4" s="195"/>
      <c r="D4" s="195"/>
      <c r="E4" s="195"/>
      <c r="F4" s="195"/>
      <c r="G4" s="195"/>
      <c r="H4" s="195"/>
      <c r="I4" s="195"/>
      <c r="J4" s="197" t="s">
        <v>8</v>
      </c>
      <c r="K4" s="197"/>
      <c r="L4" s="6"/>
      <c r="M4" s="6"/>
      <c r="N4" s="6"/>
      <c r="O4" s="6"/>
    </row>
    <row r="5" spans="1:15" s="9" customFormat="1" ht="33" customHeight="1">
      <c r="A5" s="4"/>
      <c r="B5" s="46"/>
      <c r="C5" s="198" t="s">
        <v>130</v>
      </c>
      <c r="D5" s="198"/>
      <c r="E5" s="198"/>
      <c r="F5" s="198"/>
      <c r="G5" s="198"/>
      <c r="H5" s="198"/>
      <c r="I5" s="198"/>
      <c r="J5" s="199" t="s">
        <v>9</v>
      </c>
      <c r="K5" s="199"/>
      <c r="L5" s="6"/>
      <c r="M5" s="6"/>
      <c r="N5" s="6"/>
      <c r="O5" s="6"/>
    </row>
    <row r="6" spans="1:15" s="9" customFormat="1" ht="33" customHeight="1">
      <c r="A6" s="4"/>
      <c r="B6" s="46"/>
      <c r="C6" s="200" t="s">
        <v>10</v>
      </c>
      <c r="D6" s="200"/>
      <c r="E6" s="200"/>
      <c r="F6" s="200"/>
      <c r="G6" s="200"/>
      <c r="H6" s="200"/>
      <c r="I6" s="200"/>
      <c r="J6" s="201" t="s">
        <v>11</v>
      </c>
      <c r="K6" s="201"/>
      <c r="L6" s="6"/>
      <c r="M6" s="6"/>
      <c r="N6" s="6"/>
      <c r="O6" s="6"/>
    </row>
    <row r="7" spans="1:15" s="10" customFormat="1" ht="24" customHeight="1">
      <c r="A7" s="47"/>
      <c r="B7" s="48"/>
      <c r="C7" s="50"/>
      <c r="D7" s="50"/>
      <c r="E7" s="50"/>
      <c r="F7" s="50"/>
      <c r="G7" s="51"/>
      <c r="H7" s="51"/>
      <c r="I7" s="51"/>
      <c r="J7" s="51"/>
      <c r="K7" s="51"/>
      <c r="L7" s="7"/>
      <c r="M7" s="7"/>
      <c r="N7" s="7"/>
      <c r="O7" s="7"/>
    </row>
    <row r="8" spans="1:15" ht="22.05" customHeight="1">
      <c r="C8" s="178" t="s">
        <v>126</v>
      </c>
    </row>
    <row r="9" spans="1:15" s="1" customFormat="1" ht="33.6">
      <c r="B9" s="2" t="s">
        <v>76</v>
      </c>
      <c r="I9" s="2" t="s">
        <v>77</v>
      </c>
    </row>
    <row r="10" spans="1:15">
      <c r="D10" s="16"/>
    </row>
    <row r="11" spans="1:15">
      <c r="B11" s="4" t="s">
        <v>14</v>
      </c>
      <c r="C11" s="21" t="s">
        <v>78</v>
      </c>
      <c r="I11" s="4" t="s">
        <v>14</v>
      </c>
      <c r="J11" s="21" t="s">
        <v>79</v>
      </c>
    </row>
    <row r="12" spans="1:15" ht="22.05" customHeight="1">
      <c r="B12" s="17" t="s">
        <v>80</v>
      </c>
      <c r="C12" s="20">
        <v>6000</v>
      </c>
      <c r="D12" s="33"/>
      <c r="E12" s="11"/>
      <c r="F12" s="11"/>
      <c r="G12" s="11"/>
      <c r="H12" s="11"/>
      <c r="I12" s="17" t="s">
        <v>80</v>
      </c>
      <c r="J12" s="43">
        <v>6000</v>
      </c>
      <c r="K12" s="35"/>
      <c r="L12" s="11"/>
      <c r="M12" s="11"/>
      <c r="N12" s="11"/>
      <c r="O12" s="40"/>
    </row>
    <row r="13" spans="1:15" ht="22.05" customHeight="1">
      <c r="B13" s="17" t="s">
        <v>16</v>
      </c>
      <c r="C13" s="42">
        <v>5</v>
      </c>
      <c r="D13" s="34"/>
      <c r="E13" s="11"/>
      <c r="F13" s="11"/>
      <c r="G13" s="11"/>
      <c r="H13" s="11"/>
      <c r="I13" s="17" t="s">
        <v>16</v>
      </c>
      <c r="J13" s="22">
        <v>5</v>
      </c>
      <c r="K13" s="35"/>
      <c r="L13" s="11"/>
      <c r="M13" s="11"/>
      <c r="N13" s="11"/>
      <c r="O13" s="40"/>
    </row>
    <row r="14" spans="1:15" ht="22.05" customHeight="1">
      <c r="B14" s="17" t="s">
        <v>17</v>
      </c>
      <c r="C14" s="20">
        <v>2000</v>
      </c>
      <c r="D14" s="35"/>
      <c r="E14" s="11"/>
      <c r="F14" s="11"/>
      <c r="G14" s="11"/>
      <c r="H14" s="11"/>
      <c r="I14" s="17" t="s">
        <v>17</v>
      </c>
      <c r="J14" s="22">
        <v>2000</v>
      </c>
      <c r="K14" s="35"/>
      <c r="L14" s="11"/>
      <c r="M14" s="11"/>
      <c r="N14" s="11"/>
      <c r="O14" s="41"/>
    </row>
    <row r="15" spans="1:15" ht="22.05" customHeight="1">
      <c r="B15" s="17" t="s">
        <v>18</v>
      </c>
      <c r="C15" s="23" t="s">
        <v>19</v>
      </c>
      <c r="D15" s="35" t="s">
        <v>19</v>
      </c>
      <c r="E15" s="12" t="s">
        <v>20</v>
      </c>
      <c r="F15" s="12" t="s">
        <v>21</v>
      </c>
      <c r="G15" s="12" t="s">
        <v>22</v>
      </c>
      <c r="H15" s="12" t="s">
        <v>23</v>
      </c>
      <c r="I15" s="17" t="s">
        <v>18</v>
      </c>
      <c r="J15" s="24" t="s">
        <v>21</v>
      </c>
      <c r="K15" s="35" t="s">
        <v>19</v>
      </c>
      <c r="L15" s="12" t="s">
        <v>20</v>
      </c>
      <c r="M15" s="12" t="s">
        <v>21</v>
      </c>
      <c r="N15" s="12" t="s">
        <v>22</v>
      </c>
      <c r="O15" s="40"/>
    </row>
    <row r="16" spans="1:15" ht="22.05" customHeight="1">
      <c r="B16" s="59"/>
      <c r="C16" s="20"/>
      <c r="D16" s="35"/>
      <c r="E16" s="11"/>
      <c r="F16" s="11"/>
      <c r="G16" s="11"/>
      <c r="H16" s="11"/>
      <c r="I16" s="59"/>
      <c r="J16" s="22"/>
      <c r="K16" s="35"/>
      <c r="L16" s="11"/>
      <c r="M16" s="11"/>
      <c r="N16" s="11"/>
    </row>
    <row r="17" spans="2:14" ht="22.05" customHeight="1">
      <c r="B17" s="59"/>
      <c r="C17" s="20"/>
      <c r="D17" s="35"/>
      <c r="E17" s="11"/>
      <c r="F17" s="11"/>
      <c r="G17" s="11"/>
      <c r="H17" s="11"/>
      <c r="I17" s="59"/>
      <c r="J17" s="22"/>
      <c r="K17" s="35"/>
      <c r="L17" s="11"/>
      <c r="M17" s="11"/>
      <c r="N17" s="11"/>
    </row>
    <row r="18" spans="2:14" ht="22.05" customHeight="1">
      <c r="B18" s="17" t="s">
        <v>26</v>
      </c>
      <c r="C18" s="20"/>
      <c r="D18" s="35"/>
      <c r="E18" s="11"/>
      <c r="F18" s="11"/>
      <c r="G18" s="11"/>
      <c r="H18" s="11"/>
      <c r="I18" s="17" t="s">
        <v>26</v>
      </c>
      <c r="J18" s="22"/>
      <c r="K18" s="35"/>
      <c r="L18" s="11"/>
      <c r="M18" s="11"/>
      <c r="N18" s="11"/>
    </row>
    <row r="19" spans="2:14" ht="22.05" customHeight="1">
      <c r="B19" s="17"/>
      <c r="C19" s="20"/>
      <c r="D19" s="58"/>
      <c r="E19" s="11"/>
      <c r="F19" s="11"/>
      <c r="G19" s="11"/>
      <c r="H19" s="11"/>
      <c r="I19" s="17"/>
      <c r="J19" s="22"/>
      <c r="K19" s="35"/>
      <c r="L19" s="11"/>
      <c r="M19" s="11"/>
      <c r="N19" s="11"/>
    </row>
    <row r="20" spans="2:14" ht="22.05" customHeight="1">
      <c r="B20" s="17" t="s">
        <v>27</v>
      </c>
      <c r="C20" s="20">
        <v>1000</v>
      </c>
      <c r="E20" s="11"/>
      <c r="F20" s="11"/>
      <c r="G20" s="11"/>
      <c r="H20" s="11"/>
      <c r="I20" s="17" t="s">
        <v>27</v>
      </c>
      <c r="J20" s="22">
        <v>1000</v>
      </c>
      <c r="K20" s="35"/>
      <c r="L20" s="11"/>
      <c r="M20" s="11"/>
      <c r="N20" s="11"/>
    </row>
    <row r="21" spans="2:14" ht="22.05" customHeight="1">
      <c r="B21" s="17" t="s">
        <v>28</v>
      </c>
      <c r="C21" s="20"/>
      <c r="D21" s="35"/>
      <c r="E21" s="11"/>
      <c r="F21" s="11"/>
      <c r="G21" s="11"/>
      <c r="H21" s="11"/>
      <c r="I21" s="17" t="s">
        <v>28</v>
      </c>
      <c r="J21" s="22">
        <v>139</v>
      </c>
      <c r="K21" s="35"/>
      <c r="L21" s="11"/>
      <c r="M21" s="11"/>
      <c r="N21" s="11"/>
    </row>
    <row r="22" spans="2:14" ht="22.05" customHeight="1">
      <c r="B22" s="17" t="s">
        <v>29</v>
      </c>
      <c r="C22" s="20">
        <v>1.8</v>
      </c>
      <c r="D22" s="35">
        <f>IF($C$15="El",C22,0)</f>
        <v>1.8</v>
      </c>
      <c r="E22" s="11"/>
      <c r="F22" s="11"/>
      <c r="G22" s="11"/>
      <c r="H22" s="11"/>
      <c r="I22" s="17" t="s">
        <v>29</v>
      </c>
      <c r="J22" s="22">
        <v>0</v>
      </c>
      <c r="K22" s="35">
        <f>IF($J$15="El",J22,0)</f>
        <v>0</v>
      </c>
      <c r="L22" s="11"/>
      <c r="M22" s="11"/>
      <c r="N22" s="11"/>
    </row>
    <row r="23" spans="2:14" ht="22.05" customHeight="1">
      <c r="B23" s="17" t="s">
        <v>30</v>
      </c>
      <c r="C23" s="20">
        <v>0</v>
      </c>
      <c r="D23" s="35">
        <f>IF($C$15="Gas",C23,0)</f>
        <v>0</v>
      </c>
      <c r="E23" s="11"/>
      <c r="F23" s="11"/>
      <c r="G23" s="11"/>
      <c r="H23" s="11"/>
      <c r="I23" s="17" t="s">
        <v>30</v>
      </c>
      <c r="J23" s="22">
        <v>0</v>
      </c>
      <c r="K23" s="35">
        <f>IF($J$15="Gas",J23,0)</f>
        <v>0</v>
      </c>
      <c r="L23" s="11"/>
      <c r="M23" s="11"/>
      <c r="N23" s="11"/>
    </row>
    <row r="24" spans="2:14" ht="22.05" customHeight="1">
      <c r="B24" s="17" t="s">
        <v>31</v>
      </c>
      <c r="C24" s="20">
        <v>0</v>
      </c>
      <c r="D24" s="35">
        <f>IF($C$15="Diesel",C24,0)</f>
        <v>0</v>
      </c>
      <c r="E24" s="11"/>
      <c r="F24" s="11"/>
      <c r="G24" s="11"/>
      <c r="H24" s="11"/>
      <c r="I24" s="17" t="s">
        <v>31</v>
      </c>
      <c r="J24" s="22">
        <v>0.6</v>
      </c>
      <c r="K24" s="35">
        <f>IF($J$15="Diesel",J24,0)</f>
        <v>0.6</v>
      </c>
      <c r="L24" s="11"/>
      <c r="M24" s="11"/>
      <c r="N24" s="11"/>
    </row>
    <row r="25" spans="2:14" ht="22.05" customHeight="1">
      <c r="B25" s="17" t="s">
        <v>32</v>
      </c>
      <c r="C25" s="20">
        <v>0</v>
      </c>
      <c r="D25" s="35">
        <f>IF($C$15="Bensin",C25,0)+IF($C$15="Gas",C25,0)</f>
        <v>0</v>
      </c>
      <c r="E25" s="11"/>
      <c r="F25" s="11"/>
      <c r="G25" s="11"/>
      <c r="H25" s="11"/>
      <c r="I25" s="17" t="s">
        <v>32</v>
      </c>
      <c r="J25" s="22">
        <v>0</v>
      </c>
      <c r="K25" s="35">
        <f>IF($J$15="Bensin",J25,0)+IF($J$15="Gas",J25,0)</f>
        <v>0</v>
      </c>
      <c r="L25" s="11"/>
      <c r="M25" s="11"/>
      <c r="N25" s="11"/>
    </row>
    <row r="26" spans="2:14" ht="22.05" customHeight="1">
      <c r="B26" s="17" t="s">
        <v>33</v>
      </c>
      <c r="C26" s="20">
        <v>0</v>
      </c>
      <c r="D26" s="35">
        <f>IF($C$15="HVO100",C26,0)</f>
        <v>0</v>
      </c>
      <c r="E26" s="11"/>
      <c r="F26" s="11"/>
      <c r="G26" s="11"/>
      <c r="H26" s="11"/>
      <c r="I26" s="17" t="s">
        <v>33</v>
      </c>
      <c r="J26" s="22">
        <v>0</v>
      </c>
      <c r="K26" s="35">
        <f>IF($J$15="HVO100",J26,0)</f>
        <v>0</v>
      </c>
      <c r="L26" s="11"/>
      <c r="M26" s="11"/>
      <c r="N26" s="11"/>
    </row>
    <row r="27" spans="2:14" ht="22.05" customHeight="1">
      <c r="B27" s="17" t="s">
        <v>34</v>
      </c>
      <c r="C27" s="23" t="s">
        <v>37</v>
      </c>
      <c r="D27" s="35" t="s">
        <v>36</v>
      </c>
      <c r="E27" s="12" t="s">
        <v>37</v>
      </c>
      <c r="F27" s="12" t="s">
        <v>35</v>
      </c>
      <c r="G27" s="12">
        <f>IF(C27="Fullt",0.8,IF(C27="Halvt",0.8888,1))</f>
        <v>0.88880000000000003</v>
      </c>
      <c r="H27" s="11"/>
      <c r="I27" s="17" t="s">
        <v>34</v>
      </c>
      <c r="J27" s="24" t="s">
        <v>37</v>
      </c>
      <c r="K27" s="35" t="s">
        <v>36</v>
      </c>
      <c r="L27" s="12" t="s">
        <v>37</v>
      </c>
      <c r="M27" s="12" t="s">
        <v>35</v>
      </c>
      <c r="N27" s="12">
        <f>IF(J27="Fullt",0.8,IF(J27="Halvt",0.8888,1))</f>
        <v>0.88880000000000003</v>
      </c>
    </row>
    <row r="28" spans="2:14" ht="22.05" customHeight="1">
      <c r="B28" s="17" t="s">
        <v>38</v>
      </c>
      <c r="C28" s="20">
        <v>0</v>
      </c>
      <c r="D28" s="35"/>
      <c r="E28" s="12"/>
      <c r="F28" s="12"/>
      <c r="G28" s="12"/>
      <c r="H28" s="11"/>
      <c r="I28" s="17" t="s">
        <v>38</v>
      </c>
      <c r="J28" s="22">
        <v>0</v>
      </c>
      <c r="K28" s="35"/>
      <c r="L28" s="12"/>
      <c r="M28" s="12"/>
      <c r="N28" s="12"/>
    </row>
    <row r="29" spans="2:14" ht="22.05" customHeight="1">
      <c r="B29" s="17" t="s">
        <v>39</v>
      </c>
      <c r="C29" s="20"/>
      <c r="D29" s="35"/>
      <c r="E29" s="11"/>
      <c r="F29"/>
      <c r="G29" s="11"/>
      <c r="H29" s="11"/>
      <c r="I29" s="17" t="s">
        <v>39</v>
      </c>
      <c r="J29" s="22"/>
      <c r="K29" s="35"/>
      <c r="L29" s="11"/>
      <c r="M29" s="11"/>
      <c r="N29" s="11"/>
    </row>
    <row r="30" spans="2:14" ht="22.05" customHeight="1">
      <c r="B30" s="17" t="s">
        <v>40</v>
      </c>
      <c r="C30" s="20">
        <v>1.5</v>
      </c>
      <c r="D30" s="35"/>
      <c r="E30" s="11"/>
      <c r="F30" s="11"/>
      <c r="G30" s="11"/>
      <c r="H30" s="11"/>
      <c r="I30" s="17" t="s">
        <v>40</v>
      </c>
      <c r="J30" s="22">
        <v>1.5</v>
      </c>
      <c r="K30" s="35"/>
      <c r="L30" s="11"/>
      <c r="M30" s="11"/>
      <c r="N30" s="11"/>
    </row>
    <row r="31" spans="2:14" ht="22.05" customHeight="1">
      <c r="D31" s="45"/>
      <c r="K31" s="12"/>
      <c r="L31" s="11"/>
      <c r="M31" s="11"/>
      <c r="N31" s="11"/>
    </row>
    <row r="34" spans="2:14" s="32" customFormat="1">
      <c r="C34" s="25" t="s">
        <v>41</v>
      </c>
      <c r="D34" s="25" t="s">
        <v>42</v>
      </c>
      <c r="E34" s="25"/>
      <c r="F34" s="25"/>
      <c r="G34" s="25"/>
      <c r="H34" s="25"/>
      <c r="I34" s="25"/>
      <c r="J34" s="25" t="s">
        <v>41</v>
      </c>
      <c r="K34" s="25" t="s">
        <v>42</v>
      </c>
    </row>
    <row r="35" spans="2:14" ht="5.0999999999999996" customHeight="1"/>
    <row r="36" spans="2:14" ht="22.05" customHeight="1">
      <c r="B36" s="4" t="s">
        <v>81</v>
      </c>
      <c r="C36" s="60">
        <f>(G27*(C12*12)*C13)</f>
        <v>319968</v>
      </c>
      <c r="D36" s="38">
        <f>C36/$C$13</f>
        <v>63993.599999999999</v>
      </c>
      <c r="E36" s="11"/>
      <c r="F36" s="11"/>
      <c r="G36" s="11"/>
      <c r="H36" s="11"/>
      <c r="I36" s="4" t="s">
        <v>81</v>
      </c>
      <c r="J36" s="60">
        <f>(N27*(J12*12)*J13)</f>
        <v>319968</v>
      </c>
      <c r="K36" s="38">
        <f>J36/$C$13</f>
        <v>63993.599999999999</v>
      </c>
      <c r="L36" s="11"/>
      <c r="M36" s="11"/>
      <c r="N36" s="11"/>
    </row>
    <row r="37" spans="2:14" ht="22.05" customHeight="1">
      <c r="C37" s="36">
        <f>(G27*(C12-((C28/100)*C12)))*(C16/100)</f>
        <v>0</v>
      </c>
      <c r="D37" s="38">
        <f t="shared" ref="D37:D40" si="0">C37/$C$13</f>
        <v>0</v>
      </c>
      <c r="E37" s="11"/>
      <c r="F37" s="11"/>
      <c r="G37" s="11"/>
      <c r="H37" s="11"/>
      <c r="J37" s="36">
        <f>(N27*(J12-((J28/100)*J12)))*(J16/100)</f>
        <v>0</v>
      </c>
      <c r="K37" s="38">
        <f t="shared" ref="K37:K40" si="1">J37/$C$13</f>
        <v>0</v>
      </c>
      <c r="L37" s="11"/>
      <c r="M37" s="11"/>
      <c r="N37" s="11"/>
    </row>
    <row r="38" spans="2:14" ht="22.05" customHeight="1">
      <c r="B38" s="4" t="s">
        <v>45</v>
      </c>
      <c r="C38" s="37">
        <f>C13*C14*D22*(0.8*F65)+C13*C14*D23*(0.8*F66)+C13*C14*D24*(F67*0.8)+C13*C14*D25*(F68*0.8)+C13*C14*D26*(F69*0.8)</f>
        <v>27599.207132160038</v>
      </c>
      <c r="D38" s="38">
        <f t="shared" si="0"/>
        <v>5519.8414264320072</v>
      </c>
      <c r="E38" s="11"/>
      <c r="F38" s="11"/>
      <c r="G38" s="11"/>
      <c r="H38" s="11"/>
      <c r="I38" s="4" t="s">
        <v>45</v>
      </c>
      <c r="J38" s="37">
        <f>J13*J14*K22*(0.8*M65)+J13*J14*K23*(0.8*M66)+J13*J14*K24*(M67*0.8)+J13*J14*K25*(M68*0.8)+J13*J14*K26*(M69*0.8)</f>
        <v>99372.770092800027</v>
      </c>
      <c r="K38" s="38">
        <f t="shared" si="1"/>
        <v>19874.554018560004</v>
      </c>
      <c r="L38" s="11"/>
      <c r="M38" s="11"/>
      <c r="N38" s="11"/>
    </row>
    <row r="39" spans="2:14" ht="22.05" customHeight="1">
      <c r="B39" s="4" t="s">
        <v>46</v>
      </c>
      <c r="C39" s="36">
        <f>IF(C15="El",(3*C52+E39*C53),IF(C15="Gas",(3*D52+E39*D53),IF(C15="Diesel",(3*E52+E39*E53),IF(C15="Bensin",(3*F52+E39*F53),IF(C15="HVO100",(3*E52+E39*E53))))))</f>
        <v>1800</v>
      </c>
      <c r="D39" s="38">
        <f t="shared" si="0"/>
        <v>360</v>
      </c>
      <c r="E39" s="12">
        <f>IF(C13&lt;4,0,(C13-3))</f>
        <v>2</v>
      </c>
      <c r="F39" s="11"/>
      <c r="G39" s="11"/>
      <c r="H39" s="11"/>
      <c r="I39" s="4" t="s">
        <v>46</v>
      </c>
      <c r="J39" s="36">
        <f>IF(J15="El",(3*J52+L39*J53),IF(J15="Gas",(3*K52+L39*K53),IF(J15="Diesel",(3*L52+L39*L53),IF(J15="Bensin",(3*M52+L39*M53),IF(J15="HVO100",(3*L52+L39*L53))))))</f>
        <v>35272.400000000001</v>
      </c>
      <c r="K39" s="38">
        <f t="shared" si="1"/>
        <v>7054.4800000000005</v>
      </c>
      <c r="L39" s="12">
        <f>IF(J13&lt;4,0,(J13-3))</f>
        <v>2</v>
      </c>
      <c r="M39" s="11"/>
      <c r="N39" s="11"/>
    </row>
    <row r="40" spans="2:14" ht="22.05" customHeight="1">
      <c r="B40" s="4" t="s">
        <v>47</v>
      </c>
      <c r="C40" s="36">
        <f>C13*C18</f>
        <v>0</v>
      </c>
      <c r="D40" s="38">
        <f t="shared" si="0"/>
        <v>0</v>
      </c>
      <c r="E40" s="11"/>
      <c r="F40" s="11"/>
      <c r="G40" s="11"/>
      <c r="H40" s="11"/>
      <c r="I40" s="4" t="s">
        <v>47</v>
      </c>
      <c r="J40" s="36">
        <f>J13*J18</f>
        <v>0</v>
      </c>
      <c r="K40" s="38">
        <f t="shared" si="1"/>
        <v>0</v>
      </c>
      <c r="L40" s="11"/>
      <c r="M40" s="11"/>
      <c r="N40" s="11"/>
    </row>
    <row r="41" spans="2:14" ht="22.05" customHeight="1">
      <c r="B41" s="4" t="s">
        <v>48</v>
      </c>
      <c r="C41" s="36">
        <f>C13*C20</f>
        <v>5000</v>
      </c>
      <c r="D41" s="38">
        <f>C41/C13</f>
        <v>1000</v>
      </c>
      <c r="E41" s="11"/>
      <c r="F41" s="11"/>
      <c r="G41" s="11"/>
      <c r="H41" s="11"/>
      <c r="I41" s="4" t="s">
        <v>48</v>
      </c>
      <c r="J41" s="36">
        <f>J13*J20</f>
        <v>5000</v>
      </c>
      <c r="K41" s="38">
        <f>J41/J13</f>
        <v>1000</v>
      </c>
      <c r="L41" s="11"/>
      <c r="M41" s="11"/>
      <c r="N41" s="11"/>
    </row>
    <row r="42" spans="2:14" ht="22.05" customHeight="1">
      <c r="C42" s="36"/>
      <c r="D42" s="38"/>
      <c r="E42" s="11"/>
      <c r="F42" s="11"/>
      <c r="G42" s="11"/>
      <c r="H42" s="11"/>
      <c r="J42" s="36"/>
      <c r="K42" s="38"/>
      <c r="L42" s="11"/>
      <c r="M42" s="11"/>
      <c r="N42" s="11"/>
    </row>
    <row r="43" spans="2:14" ht="21.6" thickBot="1">
      <c r="D43" s="5"/>
      <c r="K43" s="5"/>
    </row>
    <row r="44" spans="2:14" ht="29.4" thickTop="1">
      <c r="B44" s="14" t="s">
        <v>49</v>
      </c>
      <c r="C44" s="15">
        <f>SUM(C36:C41)</f>
        <v>354367.20713216002</v>
      </c>
      <c r="D44" s="15">
        <f>SUM(D36:D41)</f>
        <v>70873.441426432008</v>
      </c>
      <c r="E44" s="55">
        <f>QUOTIENT(D44,C14)</f>
        <v>35</v>
      </c>
      <c r="F44" s="55" t="s">
        <v>50</v>
      </c>
      <c r="G44" s="3"/>
      <c r="H44" s="3"/>
      <c r="I44" s="26" t="s">
        <v>49</v>
      </c>
      <c r="J44" s="27">
        <f>SUM(J36:J41)</f>
        <v>459613.17009280005</v>
      </c>
      <c r="K44" s="27">
        <f>SUM(K36:K41)</f>
        <v>91922.634018559998</v>
      </c>
      <c r="L44" s="55">
        <f>QUOTIENT(K44,J14)</f>
        <v>45</v>
      </c>
      <c r="M44" s="55" t="s">
        <v>50</v>
      </c>
    </row>
    <row r="46" spans="2:14" s="8" customFormat="1" ht="30" customHeight="1">
      <c r="B46" s="18" t="s">
        <v>51</v>
      </c>
      <c r="C46" s="28">
        <f>D46*C13</f>
        <v>1260.0000000000002</v>
      </c>
      <c r="D46" s="28">
        <f>C14*D22*C77+C14*D23*C75+C14*D24*C73+C14*D25*C74+C14*D26*C76</f>
        <v>252.00000000000003</v>
      </c>
      <c r="E46" s="19"/>
      <c r="F46" s="19"/>
      <c r="G46" s="19"/>
      <c r="H46" s="19"/>
      <c r="I46" s="18" t="s">
        <v>51</v>
      </c>
      <c r="J46" s="28">
        <f>K46*J13</f>
        <v>16193.999999999998</v>
      </c>
      <c r="K46" s="28">
        <f>J14*K22*C77+J14*K23*C75+J14*K24*C73+J14*K25*C74+J14*K26*C76</f>
        <v>3238.7999999999997</v>
      </c>
    </row>
    <row r="47" spans="2:14" s="8" customFormat="1" ht="30" customHeight="1">
      <c r="B47" s="18" t="s">
        <v>52</v>
      </c>
      <c r="C47" s="29">
        <f>C30*C46</f>
        <v>1890.0000000000005</v>
      </c>
      <c r="D47" s="29">
        <f>C30*D46</f>
        <v>378.00000000000006</v>
      </c>
      <c r="E47" s="19"/>
      <c r="F47" s="19"/>
      <c r="G47" s="19"/>
      <c r="H47" s="19"/>
      <c r="I47" s="18" t="s">
        <v>52</v>
      </c>
      <c r="J47" s="29">
        <f>J30*J46</f>
        <v>24290.999999999996</v>
      </c>
      <c r="K47" s="29">
        <f>J30*K46</f>
        <v>4858.2</v>
      </c>
    </row>
    <row r="51" spans="2:13" s="13" customFormat="1" ht="18">
      <c r="C51" s="25" t="s">
        <v>19</v>
      </c>
      <c r="D51" s="25" t="s">
        <v>20</v>
      </c>
      <c r="E51" s="25" t="s">
        <v>21</v>
      </c>
      <c r="F51" s="25" t="s">
        <v>22</v>
      </c>
      <c r="J51" s="25" t="s">
        <v>19</v>
      </c>
      <c r="K51" s="25" t="s">
        <v>20</v>
      </c>
      <c r="L51" s="25" t="s">
        <v>21</v>
      </c>
      <c r="M51" s="25" t="s">
        <v>22</v>
      </c>
    </row>
    <row r="52" spans="2:13" ht="22.05" customHeight="1">
      <c r="B52" s="4" t="s">
        <v>53</v>
      </c>
      <c r="C52" s="37">
        <f>C55</f>
        <v>360</v>
      </c>
      <c r="D52" s="37">
        <f>IF(C21&gt;125,5350,(C21-75)*107)*(IF(C21&gt;75,1,0))+C55+IF(C21&lt;125,0,(C21-125)*132)</f>
        <v>360</v>
      </c>
      <c r="E52" s="37">
        <f>IF(C21&gt;125,5350,(C21-75)*107)*(IF(C21&gt;75,1,0))+C55+IF(C21&lt;125,0,(C21-125)*132)+C58+C59</f>
        <v>610</v>
      </c>
      <c r="F52" s="37">
        <f>IF(C21&gt;125,5350,(C21-75)*107)*(IF(C21&gt;75,1,0))+C55+IF(C21&lt;125,0,(C21-125)*132)</f>
        <v>360</v>
      </c>
      <c r="I52" s="4" t="s">
        <v>53</v>
      </c>
      <c r="J52" s="37">
        <f>J55</f>
        <v>360</v>
      </c>
      <c r="K52" s="37">
        <f>IF(J21&gt;125,5350,(J21-75)*107)*(IF(J21&gt;75,1,0))+J55+IF(J21&lt;125,0,(J21-125)*132)</f>
        <v>7558</v>
      </c>
      <c r="L52" s="37">
        <f>IF(J21&gt;125,5350,(J21-75)*107)*(IF(J21&gt;75,1,0))+J55+IF(J21&lt;125,0,(J21-125)*132)+J58+J59</f>
        <v>9687.2800000000007</v>
      </c>
      <c r="M52" s="37">
        <f>IF(J21&gt;125,5350,(J21-75)*107)*(IF(J21&gt;75,1,0))+J55+IF(J21&lt;125,0,(J21-125)*132)</f>
        <v>7558</v>
      </c>
    </row>
    <row r="53" spans="2:13" ht="22.05" customHeight="1">
      <c r="B53" s="4" t="s">
        <v>54</v>
      </c>
      <c r="C53" s="37">
        <f>C55</f>
        <v>360</v>
      </c>
      <c r="D53" s="37">
        <f>IF(C21&lt;111,0,(C21-111)*11)+C55</f>
        <v>360</v>
      </c>
      <c r="E53" s="37">
        <f>IF(C21&lt;111,0,(C21-111)*22)+C55+C58+C59</f>
        <v>610</v>
      </c>
      <c r="F53" s="37">
        <f>IF(C21&lt;111,0,(C21-111)*22)+C55</f>
        <v>360</v>
      </c>
      <c r="I53" s="4" t="s">
        <v>54</v>
      </c>
      <c r="J53" s="37">
        <f>J55</f>
        <v>360</v>
      </c>
      <c r="K53" s="37">
        <f>IF(J21&lt;111,0,(J21-111)*11)+J55</f>
        <v>668</v>
      </c>
      <c r="L53" s="37">
        <f>IF(J21&lt;111,0,(J21-111)*22)+J55+J58+J59</f>
        <v>3105.2799999999997</v>
      </c>
      <c r="M53" s="37">
        <f>IF(J21&lt;111,0,(J21-111)*22)+J55</f>
        <v>976</v>
      </c>
    </row>
    <row r="54" spans="2:13" ht="22.05" customHeight="1"/>
    <row r="55" spans="2:13" ht="22.05" customHeight="1">
      <c r="B55" s="4" t="s">
        <v>55</v>
      </c>
      <c r="C55" s="39">
        <v>360</v>
      </c>
      <c r="I55" s="4" t="s">
        <v>55</v>
      </c>
      <c r="J55" s="39">
        <v>360</v>
      </c>
    </row>
    <row r="56" spans="2:13" ht="22.05" customHeight="1">
      <c r="B56" s="4" t="s">
        <v>103</v>
      </c>
      <c r="C56" s="39">
        <v>107</v>
      </c>
      <c r="I56" s="4" t="s">
        <v>103</v>
      </c>
      <c r="J56" s="39">
        <v>107</v>
      </c>
    </row>
    <row r="57" spans="2:13" ht="22.05" customHeight="1">
      <c r="B57" s="4" t="s">
        <v>104</v>
      </c>
      <c r="C57" s="39">
        <v>132</v>
      </c>
      <c r="I57" s="4" t="s">
        <v>104</v>
      </c>
      <c r="J57" s="39">
        <v>132</v>
      </c>
    </row>
    <row r="58" spans="2:13" ht="22.05" customHeight="1">
      <c r="B58" s="4" t="s">
        <v>56</v>
      </c>
      <c r="C58" s="39">
        <f>C21*13.52</f>
        <v>0</v>
      </c>
      <c r="I58" s="4" t="s">
        <v>56</v>
      </c>
      <c r="J58" s="39">
        <f>J21*13.52</f>
        <v>1879.28</v>
      </c>
    </row>
    <row r="59" spans="2:13" ht="22.05" customHeight="1">
      <c r="B59" s="4" t="s">
        <v>57</v>
      </c>
      <c r="C59" s="39">
        <v>250</v>
      </c>
      <c r="I59" s="4" t="s">
        <v>57</v>
      </c>
      <c r="J59" s="39">
        <v>250</v>
      </c>
    </row>
    <row r="60" spans="2:13" ht="22.05" customHeight="1"/>
    <row r="61" spans="2:13" s="81" customFormat="1">
      <c r="F61" s="202" t="s">
        <v>86</v>
      </c>
    </row>
    <row r="62" spans="2:13" s="81" customFormat="1">
      <c r="F62" s="202"/>
    </row>
    <row r="63" spans="2:13" s="81" customFormat="1" ht="23.4">
      <c r="B63" s="121" t="s">
        <v>87</v>
      </c>
      <c r="C63" s="122"/>
      <c r="D63" s="122"/>
      <c r="E63" s="122"/>
      <c r="F63" s="203"/>
      <c r="G63" s="122"/>
      <c r="H63" s="122"/>
      <c r="I63" s="121" t="s">
        <v>87</v>
      </c>
      <c r="J63" s="122"/>
      <c r="K63" s="122"/>
      <c r="L63" s="122"/>
      <c r="M63" s="122"/>
    </row>
    <row r="64" spans="2:13" s="81" customFormat="1">
      <c r="C64" s="123" t="s">
        <v>88</v>
      </c>
      <c r="D64" s="123" t="s">
        <v>89</v>
      </c>
      <c r="E64" s="81" t="s">
        <v>90</v>
      </c>
      <c r="F64" s="203"/>
      <c r="J64" s="123" t="s">
        <v>88</v>
      </c>
      <c r="K64" s="123" t="s">
        <v>89</v>
      </c>
      <c r="L64" s="81" t="s">
        <v>90</v>
      </c>
      <c r="M64" s="81" t="s">
        <v>98</v>
      </c>
    </row>
    <row r="65" spans="2:16" s="81" customFormat="1" ht="22.05" customHeight="1">
      <c r="B65" s="81" t="s">
        <v>91</v>
      </c>
      <c r="C65" s="124">
        <v>1.7</v>
      </c>
      <c r="D65" s="124">
        <v>6</v>
      </c>
      <c r="E65" s="109">
        <f>C13</f>
        <v>5</v>
      </c>
      <c r="F65" s="136">
        <f>C65 * ((1 + D65 / 100) ^ E65 - 1) / (E65 * (D65 / 100))</f>
        <v>1.9166116064000027</v>
      </c>
      <c r="I65" s="81" t="s">
        <v>91</v>
      </c>
      <c r="J65" s="124">
        <v>1.7</v>
      </c>
      <c r="K65" s="124">
        <v>6</v>
      </c>
      <c r="L65" s="109">
        <f>J13</f>
        <v>5</v>
      </c>
      <c r="M65" s="136">
        <f>J65 * ((1 + K65 / 100) ^ L65 - 1) / (L65 * (K65 / 100))</f>
        <v>1.9166116064000027</v>
      </c>
    </row>
    <row r="66" spans="2:16" s="81" customFormat="1" ht="22.05" customHeight="1">
      <c r="B66" s="81" t="s">
        <v>58</v>
      </c>
      <c r="C66" s="124">
        <v>30</v>
      </c>
      <c r="D66" s="124">
        <v>5.5</v>
      </c>
      <c r="E66" s="109">
        <f>C13</f>
        <v>5</v>
      </c>
      <c r="F66" s="136">
        <f>C66 * ((1 + D66 / 100) ^ E66 - 1) / (E66 * (D66 / 100))</f>
        <v>33.48654615374997</v>
      </c>
      <c r="I66" s="81" t="s">
        <v>58</v>
      </c>
      <c r="J66" s="124">
        <v>30</v>
      </c>
      <c r="K66" s="124">
        <v>5.5</v>
      </c>
      <c r="L66" s="109">
        <f>J13</f>
        <v>5</v>
      </c>
      <c r="M66" s="136">
        <f>J66 * ((1 + K66 / 100) ^ L66 - 1) / (L66 * (K66 / 100))</f>
        <v>33.48654615374997</v>
      </c>
    </row>
    <row r="67" spans="2:16" s="81" customFormat="1" ht="22.05" customHeight="1">
      <c r="B67" s="81" t="s">
        <v>59</v>
      </c>
      <c r="C67" s="124">
        <v>18</v>
      </c>
      <c r="D67" s="124">
        <v>7</v>
      </c>
      <c r="E67" s="109">
        <f>C13</f>
        <v>5</v>
      </c>
      <c r="F67" s="136">
        <f>C67 * ((1 + D67 / 100) ^ E67 - 1) / (E67 * (D67 / 100))</f>
        <v>20.702660436000006</v>
      </c>
      <c r="I67" s="81" t="s">
        <v>59</v>
      </c>
      <c r="J67" s="124">
        <v>18</v>
      </c>
      <c r="K67" s="124">
        <v>7</v>
      </c>
      <c r="L67" s="109">
        <f>J13</f>
        <v>5</v>
      </c>
      <c r="M67" s="136">
        <f>J67 * ((1 + K67 / 100) ^ L67 - 1) / (L67 * (K67 / 100))</f>
        <v>20.702660436000006</v>
      </c>
    </row>
    <row r="68" spans="2:16" s="81" customFormat="1" ht="22.05" customHeight="1">
      <c r="B68" s="81" t="s">
        <v>60</v>
      </c>
      <c r="C68" s="124">
        <v>17</v>
      </c>
      <c r="D68" s="124">
        <v>5</v>
      </c>
      <c r="E68" s="109">
        <f>C13</f>
        <v>5</v>
      </c>
      <c r="F68" s="136">
        <f>C68 * ((1 + D68 / 100) ^ E68 - 1) / (E68 * (D68 / 100))</f>
        <v>18.78714625000001</v>
      </c>
      <c r="I68" s="81" t="s">
        <v>60</v>
      </c>
      <c r="J68" s="124">
        <v>17</v>
      </c>
      <c r="K68" s="124">
        <v>5</v>
      </c>
      <c r="L68" s="109">
        <f>J13</f>
        <v>5</v>
      </c>
      <c r="M68" s="136">
        <f>J68 * ((1 + K68 / 100) ^ L68 - 1) / (L68 * (K68 / 100))</f>
        <v>18.78714625000001</v>
      </c>
    </row>
    <row r="69" spans="2:16" s="81" customFormat="1" ht="22.05" customHeight="1">
      <c r="B69" s="81" t="s">
        <v>61</v>
      </c>
      <c r="C69" s="124">
        <v>21</v>
      </c>
      <c r="D69" s="124">
        <v>9</v>
      </c>
      <c r="E69" s="109">
        <f>C13</f>
        <v>5</v>
      </c>
      <c r="F69" s="136">
        <f>C69 * ((1 + D69 / 100) ^ E69 - 1) / (E69 * (D69 / 100))</f>
        <v>25.135784562000026</v>
      </c>
      <c r="I69" s="81" t="s">
        <v>61</v>
      </c>
      <c r="J69" s="124">
        <v>21</v>
      </c>
      <c r="K69" s="124">
        <v>9</v>
      </c>
      <c r="L69" s="109">
        <f>J13</f>
        <v>5</v>
      </c>
      <c r="M69" s="136">
        <f>J69 * ((1 + K69 / 100) ^ L69 - 1) / (L69 * (K69 / 100))</f>
        <v>25.135784562000026</v>
      </c>
    </row>
    <row r="70" spans="2:16" ht="22.05" customHeight="1">
      <c r="C70" s="133"/>
      <c r="D70" s="134"/>
      <c r="E70" s="135"/>
      <c r="F70" s="135"/>
      <c r="G70" s="135"/>
      <c r="H70" s="135"/>
      <c r="I70" s="135"/>
      <c r="J70" s="133"/>
      <c r="K70" s="65"/>
    </row>
    <row r="71" spans="2:16" ht="22.05" customHeight="1">
      <c r="C71" s="133"/>
      <c r="D71" s="134"/>
      <c r="E71" s="135"/>
      <c r="F71" s="135"/>
      <c r="G71" s="135"/>
      <c r="H71" s="135"/>
      <c r="I71" s="135"/>
      <c r="J71" s="133"/>
      <c r="K71" s="65"/>
    </row>
    <row r="72" spans="2:16" ht="22.05" customHeight="1"/>
    <row r="73" spans="2:16" ht="22.05" customHeight="1">
      <c r="B73" s="4" t="s">
        <v>62</v>
      </c>
      <c r="C73" s="39">
        <v>2.6989999999999998</v>
      </c>
    </row>
    <row r="74" spans="2:16" ht="22.05" customHeight="1">
      <c r="B74" s="4" t="s">
        <v>63</v>
      </c>
      <c r="C74" s="39">
        <v>2.9340000000000002</v>
      </c>
    </row>
    <row r="75" spans="2:16" ht="22.05" customHeight="1">
      <c r="B75" s="4" t="s">
        <v>64</v>
      </c>
      <c r="C75" s="39">
        <v>0.59099999999999997</v>
      </c>
    </row>
    <row r="76" spans="2:16" ht="22.05" customHeight="1">
      <c r="B76" s="4" t="s">
        <v>65</v>
      </c>
      <c r="C76" s="39">
        <v>0.44900000000000001</v>
      </c>
    </row>
    <row r="77" spans="2:16" ht="22.05" customHeight="1">
      <c r="B77" s="4" t="s">
        <v>66</v>
      </c>
      <c r="C77" s="39">
        <v>7.0000000000000007E-2</v>
      </c>
    </row>
    <row r="80" spans="2:16">
      <c r="B80" s="30"/>
      <c r="C80" s="30"/>
      <c r="D80" s="30"/>
      <c r="E80" s="30"/>
      <c r="F80" s="30"/>
      <c r="G80" s="30"/>
      <c r="H80" s="30"/>
      <c r="I80" s="30"/>
      <c r="J80" s="30"/>
      <c r="K80" s="30"/>
      <c r="L80" s="30"/>
      <c r="M80" s="30"/>
      <c r="N80" s="30"/>
      <c r="O80" s="30"/>
      <c r="P80" s="30"/>
    </row>
    <row r="81" spans="2:15">
      <c r="B81" s="4" t="s">
        <v>67</v>
      </c>
    </row>
    <row r="83" spans="2:15">
      <c r="B83" s="31" t="s">
        <v>1</v>
      </c>
      <c r="I83" s="31" t="s">
        <v>68</v>
      </c>
      <c r="M83" s="31" t="s">
        <v>69</v>
      </c>
    </row>
    <row r="84" spans="2:15" ht="5.0999999999999996" customHeight="1"/>
    <row r="85" spans="2:15" ht="74.099999999999994" customHeight="1">
      <c r="B85" s="193" t="s">
        <v>2</v>
      </c>
      <c r="C85" s="193"/>
      <c r="D85" s="193"/>
      <c r="E85" s="193"/>
      <c r="I85" s="192" t="s">
        <v>70</v>
      </c>
      <c r="J85" s="192"/>
      <c r="K85" s="192"/>
      <c r="M85" s="192" t="s">
        <v>71</v>
      </c>
      <c r="N85" s="192"/>
      <c r="O85" s="192"/>
    </row>
    <row r="87" spans="2:15">
      <c r="B87" s="31" t="s">
        <v>3</v>
      </c>
      <c r="I87" s="31" t="s">
        <v>72</v>
      </c>
    </row>
    <row r="88" spans="2:15" ht="5.0999999999999996" customHeight="1"/>
    <row r="89" spans="2:15" ht="157.5" customHeight="1">
      <c r="B89" s="193" t="s">
        <v>82</v>
      </c>
      <c r="C89" s="193"/>
      <c r="D89" s="193"/>
      <c r="E89" s="193"/>
      <c r="I89" s="193" t="s">
        <v>73</v>
      </c>
      <c r="J89" s="193"/>
      <c r="K89" s="193"/>
    </row>
    <row r="90" spans="2:15">
      <c r="I90" s="31"/>
    </row>
    <row r="91" spans="2:15">
      <c r="B91" s="31" t="s">
        <v>4</v>
      </c>
      <c r="I91" s="44" t="s">
        <v>74</v>
      </c>
    </row>
    <row r="92" spans="2:15" ht="4.05" customHeight="1"/>
    <row r="93" spans="2:15" ht="22.05" customHeight="1">
      <c r="B93" s="192" t="s">
        <v>5</v>
      </c>
      <c r="C93" s="192"/>
      <c r="D93" s="192"/>
      <c r="E93" s="192"/>
      <c r="I93" s="193" t="s">
        <v>75</v>
      </c>
      <c r="J93" s="193"/>
      <c r="K93" s="193"/>
    </row>
    <row r="94" spans="2:15">
      <c r="B94" s="192"/>
      <c r="C94" s="192"/>
      <c r="D94" s="192"/>
      <c r="E94" s="192"/>
      <c r="I94" s="193"/>
      <c r="J94" s="193"/>
      <c r="K94" s="193"/>
    </row>
    <row r="95" spans="2:15" ht="74.099999999999994" customHeight="1"/>
  </sheetData>
  <mergeCells count="15">
    <mergeCell ref="B93:E94"/>
    <mergeCell ref="I93:K94"/>
    <mergeCell ref="C1:I4"/>
    <mergeCell ref="J3:K3"/>
    <mergeCell ref="J4:K4"/>
    <mergeCell ref="C5:I5"/>
    <mergeCell ref="J5:K5"/>
    <mergeCell ref="C6:I6"/>
    <mergeCell ref="J6:K6"/>
    <mergeCell ref="F61:F64"/>
    <mergeCell ref="M85:O85"/>
    <mergeCell ref="B85:E85"/>
    <mergeCell ref="I85:K85"/>
    <mergeCell ref="B89:E89"/>
    <mergeCell ref="I89:K89"/>
  </mergeCells>
  <dataValidations disablePrompts="1" count="2">
    <dataValidation type="list" allowBlank="1" showInputMessage="1" showErrorMessage="1" sqref="C27 J27" xr:uid="{094EA968-D3E5-4AD4-82D7-DB5975BB92DE}">
      <formula1>$D$27:$F$27</formula1>
    </dataValidation>
    <dataValidation type="list" allowBlank="1" showInputMessage="1" showErrorMessage="1" sqref="C15 J15" xr:uid="{204CDC6E-0D5D-4CF2-8A60-33DEC24587B2}">
      <formula1>$D$15:$H$15</formula1>
    </dataValidation>
  </dataValidations>
  <hyperlinks>
    <hyperlink ref="C8" location="Info!A1" display="Till innehållsförteckning" xr:uid="{C4C067BF-D850-4153-BD91-02A487901B1F}"/>
  </hyperlinks>
  <pageMargins left="1" right="1" top="1" bottom="1" header="0.5" footer="0.5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A99438-E44B-44FC-B484-E6462411DE7C}">
  <dimension ref="A1:P91"/>
  <sheetViews>
    <sheetView showGridLines="0" zoomScale="40" zoomScaleNormal="40" workbookViewId="0">
      <selection activeCell="B9" sqref="B9"/>
    </sheetView>
  </sheetViews>
  <sheetFormatPr defaultColWidth="8.77734375" defaultRowHeight="21"/>
  <cols>
    <col min="1" max="1" width="8.77734375" style="4"/>
    <col min="2" max="2" width="50.77734375" style="4" customWidth="1"/>
    <col min="3" max="6" width="25.77734375" style="4" customWidth="1"/>
    <col min="7" max="7" width="9" style="4" bestFit="1" customWidth="1"/>
    <col min="8" max="8" width="8.77734375" style="4"/>
    <col min="9" max="9" width="50.77734375" style="4" customWidth="1"/>
    <col min="10" max="13" width="25.77734375" style="4" customWidth="1"/>
    <col min="14" max="14" width="9" style="4" bestFit="1" customWidth="1"/>
    <col min="15" max="15" width="49.5546875" style="4" customWidth="1"/>
    <col min="16" max="16384" width="8.77734375" style="4"/>
  </cols>
  <sheetData>
    <row r="1" spans="1:15" s="9" customFormat="1" ht="24" customHeight="1">
      <c r="A1" s="4"/>
      <c r="B1" s="46"/>
      <c r="C1" s="194" t="s">
        <v>6</v>
      </c>
      <c r="D1" s="195"/>
      <c r="E1" s="195"/>
      <c r="F1" s="195"/>
      <c r="G1" s="195"/>
      <c r="H1" s="195"/>
      <c r="I1" s="195"/>
      <c r="J1" s="49"/>
      <c r="K1" s="49"/>
      <c r="L1" s="6"/>
      <c r="M1" s="6"/>
      <c r="N1" s="6"/>
      <c r="O1" s="6"/>
    </row>
    <row r="2" spans="1:15" s="9" customFormat="1" ht="30" customHeight="1">
      <c r="A2" s="4"/>
      <c r="B2" s="46"/>
      <c r="C2" s="195"/>
      <c r="D2" s="195"/>
      <c r="E2" s="195"/>
      <c r="F2" s="195"/>
      <c r="G2" s="195"/>
      <c r="H2" s="195"/>
      <c r="I2" s="195"/>
      <c r="J2" s="52">
        <v>45261</v>
      </c>
      <c r="K2" s="49"/>
      <c r="L2" s="6"/>
      <c r="M2" s="6"/>
      <c r="N2" s="6"/>
      <c r="O2" s="6"/>
    </row>
    <row r="3" spans="1:15" s="9" customFormat="1" ht="27" customHeight="1">
      <c r="A3" s="4"/>
      <c r="B3" s="46"/>
      <c r="C3" s="195"/>
      <c r="D3" s="195"/>
      <c r="E3" s="195"/>
      <c r="F3" s="195"/>
      <c r="G3" s="195"/>
      <c r="H3" s="195"/>
      <c r="I3" s="195"/>
      <c r="J3" s="196" t="s">
        <v>7</v>
      </c>
      <c r="K3" s="196"/>
      <c r="L3" s="6"/>
      <c r="M3" s="6"/>
      <c r="N3" s="6"/>
      <c r="O3" s="6"/>
    </row>
    <row r="4" spans="1:15" s="9" customFormat="1" ht="28.05" customHeight="1">
      <c r="A4" s="4"/>
      <c r="B4" s="46"/>
      <c r="C4" s="195"/>
      <c r="D4" s="195"/>
      <c r="E4" s="195"/>
      <c r="F4" s="195"/>
      <c r="G4" s="195"/>
      <c r="H4" s="195"/>
      <c r="I4" s="195"/>
      <c r="J4" s="197" t="s">
        <v>8</v>
      </c>
      <c r="K4" s="197"/>
      <c r="L4" s="6"/>
      <c r="M4" s="6"/>
      <c r="N4" s="6"/>
      <c r="O4" s="6"/>
    </row>
    <row r="5" spans="1:15" s="9" customFormat="1" ht="33" customHeight="1">
      <c r="A5" s="4"/>
      <c r="B5" s="46"/>
      <c r="C5" s="198" t="s">
        <v>130</v>
      </c>
      <c r="D5" s="198"/>
      <c r="E5" s="198"/>
      <c r="F5" s="198"/>
      <c r="G5" s="198"/>
      <c r="H5" s="198"/>
      <c r="I5" s="198"/>
      <c r="J5" s="199" t="s">
        <v>9</v>
      </c>
      <c r="K5" s="199"/>
      <c r="L5" s="6"/>
      <c r="M5" s="6"/>
      <c r="N5" s="6"/>
      <c r="O5" s="6"/>
    </row>
    <row r="6" spans="1:15" s="9" customFormat="1" ht="33" customHeight="1">
      <c r="A6" s="4"/>
      <c r="B6" s="46"/>
      <c r="C6" s="200" t="s">
        <v>10</v>
      </c>
      <c r="D6" s="200"/>
      <c r="E6" s="200"/>
      <c r="F6" s="200"/>
      <c r="G6" s="200"/>
      <c r="H6" s="200"/>
      <c r="I6" s="200"/>
      <c r="J6" s="201" t="s">
        <v>11</v>
      </c>
      <c r="K6" s="201"/>
      <c r="L6" s="6"/>
      <c r="M6" s="6"/>
      <c r="N6" s="6"/>
      <c r="O6" s="6"/>
    </row>
    <row r="7" spans="1:15" s="10" customFormat="1" ht="24" customHeight="1">
      <c r="A7" s="47"/>
      <c r="B7" s="48"/>
      <c r="C7" s="50"/>
      <c r="D7" s="50"/>
      <c r="E7" s="50"/>
      <c r="F7" s="50"/>
      <c r="G7" s="51"/>
      <c r="H7" s="51"/>
      <c r="I7" s="51"/>
      <c r="J7" s="51"/>
      <c r="K7" s="51"/>
      <c r="L7" s="7"/>
      <c r="M7" s="7"/>
      <c r="N7" s="7"/>
      <c r="O7" s="7"/>
    </row>
    <row r="8" spans="1:15" ht="22.05" customHeight="1">
      <c r="C8" s="178" t="s">
        <v>126</v>
      </c>
    </row>
    <row r="9" spans="1:15" s="1" customFormat="1" ht="33.6">
      <c r="B9" s="2" t="s">
        <v>12</v>
      </c>
      <c r="I9" s="2" t="s">
        <v>13</v>
      </c>
    </row>
    <row r="10" spans="1:15">
      <c r="D10" s="16"/>
    </row>
    <row r="11" spans="1:15">
      <c r="B11" s="4" t="s">
        <v>14</v>
      </c>
      <c r="C11" s="21" t="s">
        <v>84</v>
      </c>
      <c r="I11" s="4" t="s">
        <v>14</v>
      </c>
      <c r="J11" s="21" t="s">
        <v>85</v>
      </c>
    </row>
    <row r="12" spans="1:15" ht="22.05" customHeight="1">
      <c r="B12" s="17" t="s">
        <v>15</v>
      </c>
      <c r="C12" s="20">
        <v>449000</v>
      </c>
      <c r="D12" s="33"/>
      <c r="E12" s="11"/>
      <c r="F12" s="11"/>
      <c r="G12" s="11"/>
      <c r="H12" s="11"/>
      <c r="I12" s="4" t="s">
        <v>15</v>
      </c>
      <c r="J12" s="43">
        <v>428000</v>
      </c>
      <c r="K12" s="35"/>
      <c r="L12" s="11"/>
      <c r="M12" s="11"/>
      <c r="N12" s="11"/>
      <c r="O12" s="40"/>
    </row>
    <row r="13" spans="1:15" ht="22.05" customHeight="1">
      <c r="B13" s="17" t="s">
        <v>16</v>
      </c>
      <c r="C13" s="42">
        <v>5</v>
      </c>
      <c r="D13" s="34"/>
      <c r="E13" s="11"/>
      <c r="F13" s="11"/>
      <c r="G13" s="11"/>
      <c r="H13" s="11"/>
      <c r="I13" s="4" t="s">
        <v>16</v>
      </c>
      <c r="J13" s="22">
        <v>5</v>
      </c>
      <c r="K13" s="35"/>
      <c r="L13" s="11"/>
      <c r="M13" s="11"/>
      <c r="N13" s="11"/>
      <c r="O13" s="40"/>
    </row>
    <row r="14" spans="1:15" ht="22.05" customHeight="1">
      <c r="B14" s="17" t="s">
        <v>17</v>
      </c>
      <c r="C14" s="20">
        <v>2000</v>
      </c>
      <c r="D14" s="35"/>
      <c r="E14" s="11"/>
      <c r="F14" s="11"/>
      <c r="G14" s="11"/>
      <c r="H14" s="11"/>
      <c r="I14" s="4" t="s">
        <v>17</v>
      </c>
      <c r="J14" s="22">
        <v>2000</v>
      </c>
      <c r="K14" s="35"/>
      <c r="L14" s="11"/>
      <c r="M14" s="11"/>
      <c r="N14" s="11"/>
      <c r="O14" s="41"/>
    </row>
    <row r="15" spans="1:15" ht="22.05" customHeight="1">
      <c r="B15" s="17" t="s">
        <v>18</v>
      </c>
      <c r="C15" s="23" t="s">
        <v>19</v>
      </c>
      <c r="D15" s="35" t="s">
        <v>19</v>
      </c>
      <c r="E15" s="12" t="s">
        <v>20</v>
      </c>
      <c r="F15" s="12" t="s">
        <v>21</v>
      </c>
      <c r="G15" s="12" t="s">
        <v>22</v>
      </c>
      <c r="H15" s="12" t="s">
        <v>23</v>
      </c>
      <c r="I15" s="4" t="s">
        <v>18</v>
      </c>
      <c r="J15" s="24" t="s">
        <v>22</v>
      </c>
      <c r="K15" s="35" t="s">
        <v>19</v>
      </c>
      <c r="L15" s="12" t="s">
        <v>20</v>
      </c>
      <c r="M15" s="12" t="s">
        <v>21</v>
      </c>
      <c r="N15" s="12" t="s">
        <v>22</v>
      </c>
      <c r="O15" s="40"/>
    </row>
    <row r="16" spans="1:15" ht="22.05" customHeight="1">
      <c r="B16" s="17" t="s">
        <v>24</v>
      </c>
      <c r="C16" s="20">
        <v>60</v>
      </c>
      <c r="D16" s="35"/>
      <c r="E16" s="11"/>
      <c r="F16" s="11"/>
      <c r="G16" s="11"/>
      <c r="H16" s="11"/>
      <c r="I16" s="4" t="s">
        <v>24</v>
      </c>
      <c r="J16" s="22">
        <v>60</v>
      </c>
      <c r="K16" s="35"/>
      <c r="L16" s="11"/>
      <c r="M16" s="11"/>
      <c r="N16" s="11"/>
    </row>
    <row r="17" spans="2:14" ht="22.05" customHeight="1">
      <c r="B17" s="17" t="s">
        <v>25</v>
      </c>
      <c r="C17" s="20">
        <v>4</v>
      </c>
      <c r="D17" s="35"/>
      <c r="E17" s="11"/>
      <c r="F17" s="11"/>
      <c r="G17" s="11"/>
      <c r="H17" s="11"/>
      <c r="I17" s="4" t="s">
        <v>25</v>
      </c>
      <c r="J17" s="22">
        <v>4</v>
      </c>
      <c r="K17" s="35"/>
      <c r="L17" s="11"/>
      <c r="M17" s="11"/>
      <c r="N17" s="11"/>
    </row>
    <row r="18" spans="2:14" ht="22.05" customHeight="1">
      <c r="B18" s="17" t="s">
        <v>26</v>
      </c>
      <c r="C18" s="20">
        <v>3000</v>
      </c>
      <c r="D18" s="35"/>
      <c r="E18" s="11"/>
      <c r="F18" s="11"/>
      <c r="G18" s="11"/>
      <c r="H18" s="11"/>
      <c r="I18" s="4" t="s">
        <v>26</v>
      </c>
      <c r="J18" s="22">
        <v>5000</v>
      </c>
      <c r="K18" s="35"/>
      <c r="L18" s="11"/>
      <c r="M18" s="11"/>
      <c r="N18" s="11"/>
    </row>
    <row r="19" spans="2:14" ht="22.05" customHeight="1">
      <c r="B19" s="17" t="s">
        <v>27</v>
      </c>
      <c r="C19" s="20">
        <v>10000</v>
      </c>
      <c r="D19" s="35"/>
      <c r="E19" s="11"/>
      <c r="F19" s="11"/>
      <c r="G19" s="11"/>
      <c r="H19" s="11"/>
      <c r="I19" s="4" t="s">
        <v>27</v>
      </c>
      <c r="J19" s="22">
        <v>10000</v>
      </c>
      <c r="K19" s="35"/>
      <c r="L19" s="11"/>
      <c r="M19" s="11"/>
      <c r="N19" s="11"/>
    </row>
    <row r="20" spans="2:14" ht="22.05" customHeight="1">
      <c r="B20" s="17" t="s">
        <v>28</v>
      </c>
      <c r="C20" s="20">
        <v>0</v>
      </c>
      <c r="D20" s="35"/>
      <c r="E20" s="11"/>
      <c r="F20" s="11"/>
      <c r="G20" s="11"/>
      <c r="H20" s="11"/>
      <c r="I20" s="4" t="s">
        <v>28</v>
      </c>
      <c r="J20" s="22">
        <v>150</v>
      </c>
      <c r="K20" s="35"/>
      <c r="L20" s="11"/>
      <c r="M20" s="11"/>
      <c r="N20" s="11"/>
    </row>
    <row r="21" spans="2:14" ht="22.05" customHeight="1">
      <c r="B21" s="17" t="s">
        <v>29</v>
      </c>
      <c r="C21" s="20">
        <v>1.8</v>
      </c>
      <c r="D21" s="35">
        <f>IF($C$15="El",C21,0)</f>
        <v>1.8</v>
      </c>
      <c r="E21" s="11"/>
      <c r="F21" s="11"/>
      <c r="G21" s="11"/>
      <c r="H21" s="11"/>
      <c r="I21" s="4" t="s">
        <v>29</v>
      </c>
      <c r="J21" s="22">
        <v>0</v>
      </c>
      <c r="K21" s="35">
        <f>IF($J$15="El",J21,0)</f>
        <v>0</v>
      </c>
      <c r="L21" s="11"/>
      <c r="M21" s="11"/>
      <c r="N21" s="11"/>
    </row>
    <row r="22" spans="2:14" ht="22.05" customHeight="1">
      <c r="B22" s="17" t="s">
        <v>30</v>
      </c>
      <c r="C22" s="20">
        <v>0</v>
      </c>
      <c r="D22" s="35">
        <f>IF($C$15="Gas",C22,0)</f>
        <v>0</v>
      </c>
      <c r="E22" s="11"/>
      <c r="F22" s="11"/>
      <c r="G22" s="11"/>
      <c r="H22" s="11"/>
      <c r="I22" s="4" t="s">
        <v>30</v>
      </c>
      <c r="J22" s="22">
        <v>0</v>
      </c>
      <c r="K22" s="35">
        <f>IF($J$15="Gas",J22,0)</f>
        <v>0</v>
      </c>
      <c r="L22" s="11"/>
      <c r="M22" s="11"/>
      <c r="N22" s="11"/>
    </row>
    <row r="23" spans="2:14" ht="22.05" customHeight="1">
      <c r="B23" s="17" t="s">
        <v>31</v>
      </c>
      <c r="C23" s="20">
        <v>0</v>
      </c>
      <c r="D23" s="35">
        <f>IF($C$15="Diesel",C23,0)</f>
        <v>0</v>
      </c>
      <c r="E23" s="11"/>
      <c r="F23" s="11"/>
      <c r="G23" s="11"/>
      <c r="H23" s="11"/>
      <c r="I23" s="4" t="s">
        <v>31</v>
      </c>
      <c r="J23" s="22">
        <v>0</v>
      </c>
      <c r="K23" s="35">
        <f>IF($J$15="Diesel",J23,0)</f>
        <v>0</v>
      </c>
      <c r="L23" s="11"/>
      <c r="M23" s="11"/>
      <c r="N23" s="11"/>
    </row>
    <row r="24" spans="2:14" ht="22.05" customHeight="1">
      <c r="B24" s="17" t="s">
        <v>32</v>
      </c>
      <c r="C24" s="20">
        <v>0</v>
      </c>
      <c r="D24" s="35">
        <f>IF($C$15="Bensin",C24,0)+IF($C$15="Gas",C24,0)</f>
        <v>0</v>
      </c>
      <c r="E24" s="11"/>
      <c r="F24" s="11"/>
      <c r="G24" s="11"/>
      <c r="H24" s="11"/>
      <c r="I24" s="4" t="s">
        <v>32</v>
      </c>
      <c r="J24" s="22">
        <v>0.66</v>
      </c>
      <c r="K24" s="35">
        <f>IF($J$15="Bensin",J24,0)+IF($J$15="Gas",J24,0)</f>
        <v>0.66</v>
      </c>
      <c r="L24" s="11"/>
      <c r="M24" s="11"/>
      <c r="N24" s="11"/>
    </row>
    <row r="25" spans="2:14" ht="22.05" customHeight="1">
      <c r="B25" s="17" t="s">
        <v>33</v>
      </c>
      <c r="C25" s="20">
        <v>0</v>
      </c>
      <c r="D25" s="35">
        <f>IF($C$15="HVO100",C25,0)</f>
        <v>0</v>
      </c>
      <c r="E25" s="11"/>
      <c r="F25" s="11"/>
      <c r="G25" s="11"/>
      <c r="H25" s="11"/>
      <c r="I25" s="4" t="s">
        <v>33</v>
      </c>
      <c r="J25" s="22">
        <v>0</v>
      </c>
      <c r="K25" s="35">
        <f>IF($J$15="HVO100",J25,0)</f>
        <v>0</v>
      </c>
      <c r="L25" s="11"/>
      <c r="M25" s="11"/>
      <c r="N25" s="11"/>
    </row>
    <row r="26" spans="2:14" ht="22.05" customHeight="1">
      <c r="B26" s="17" t="s">
        <v>34</v>
      </c>
      <c r="C26" s="23" t="s">
        <v>35</v>
      </c>
      <c r="D26" s="35" t="s">
        <v>36</v>
      </c>
      <c r="E26" s="12" t="s">
        <v>37</v>
      </c>
      <c r="F26" s="12" t="s">
        <v>35</v>
      </c>
      <c r="G26" s="12">
        <f>IF(C26="Fullt",0.8,IF(C26="Halvt",0.8888,1))</f>
        <v>1</v>
      </c>
      <c r="H26" s="11"/>
      <c r="I26" s="4" t="s">
        <v>34</v>
      </c>
      <c r="J26" s="24" t="s">
        <v>35</v>
      </c>
      <c r="K26" s="35" t="s">
        <v>36</v>
      </c>
      <c r="L26" s="12" t="s">
        <v>37</v>
      </c>
      <c r="M26" s="12" t="s">
        <v>35</v>
      </c>
      <c r="N26" s="12">
        <f>IF(J26="Fullt",0.8,IF(J26="Halvt",0.8888,1))</f>
        <v>1</v>
      </c>
    </row>
    <row r="27" spans="2:14" ht="22.05" customHeight="1">
      <c r="B27" s="17" t="s">
        <v>38</v>
      </c>
      <c r="C27" s="20">
        <v>0</v>
      </c>
      <c r="D27" s="35"/>
      <c r="E27" s="12"/>
      <c r="F27" s="12"/>
      <c r="G27" s="12"/>
      <c r="H27" s="11"/>
      <c r="I27" s="4" t="s">
        <v>38</v>
      </c>
      <c r="J27" s="22">
        <v>0</v>
      </c>
      <c r="K27" s="35"/>
      <c r="L27" s="12"/>
      <c r="M27" s="12"/>
      <c r="N27" s="12"/>
    </row>
    <row r="28" spans="2:14" ht="22.05" customHeight="1">
      <c r="B28" s="17" t="s">
        <v>39</v>
      </c>
      <c r="C28" s="20"/>
      <c r="D28" s="35"/>
      <c r="E28" s="11"/>
      <c r="F28"/>
      <c r="G28" s="11"/>
      <c r="H28" s="11"/>
      <c r="I28" s="4" t="s">
        <v>39</v>
      </c>
      <c r="J28" s="22"/>
      <c r="K28" s="35"/>
      <c r="L28" s="11"/>
      <c r="M28" s="11"/>
      <c r="N28" s="11"/>
    </row>
    <row r="29" spans="2:14" ht="22.05" customHeight="1">
      <c r="B29" s="17" t="s">
        <v>40</v>
      </c>
      <c r="C29" s="20">
        <v>1.5</v>
      </c>
      <c r="D29" s="35"/>
      <c r="E29" s="11"/>
      <c r="F29" s="11"/>
      <c r="G29" s="11"/>
      <c r="H29" s="11"/>
      <c r="I29" s="4" t="s">
        <v>40</v>
      </c>
      <c r="J29" s="22">
        <v>1.5</v>
      </c>
      <c r="K29" s="35"/>
      <c r="L29" s="11"/>
      <c r="M29" s="11"/>
      <c r="N29" s="11"/>
    </row>
    <row r="30" spans="2:14" ht="22.05" customHeight="1">
      <c r="D30" s="45"/>
      <c r="K30" s="12"/>
      <c r="L30" s="11"/>
      <c r="M30" s="11"/>
      <c r="N30" s="11"/>
    </row>
    <row r="33" spans="2:14" s="32" customFormat="1">
      <c r="C33" s="25" t="s">
        <v>41</v>
      </c>
      <c r="D33" s="25" t="s">
        <v>42</v>
      </c>
      <c r="E33" s="25"/>
      <c r="F33" s="25"/>
      <c r="G33" s="25"/>
      <c r="H33" s="25"/>
      <c r="I33" s="25"/>
      <c r="J33" s="25" t="s">
        <v>41</v>
      </c>
      <c r="K33" s="25" t="s">
        <v>42</v>
      </c>
    </row>
    <row r="34" spans="2:14" ht="5.0999999999999996" customHeight="1"/>
    <row r="35" spans="2:14" ht="22.05" customHeight="1">
      <c r="B35" s="4" t="s">
        <v>43</v>
      </c>
      <c r="C35" s="37">
        <f>(((G26*(C12-C30-((C27/100)*C12)))*(1-(C16/200))*(C17/100)))*C13</f>
        <v>62860</v>
      </c>
      <c r="D35" s="38">
        <f>C35/$C$13</f>
        <v>12572</v>
      </c>
      <c r="E35" s="11"/>
      <c r="F35" s="11"/>
      <c r="G35" s="11"/>
      <c r="H35" s="11"/>
      <c r="I35" s="4" t="s">
        <v>43</v>
      </c>
      <c r="J35" s="37">
        <f>(((N26*(J12-J30-((J27/100)*J12)))*(1-(J16/200))*(J17/100)))*J13</f>
        <v>59920</v>
      </c>
      <c r="K35" s="38">
        <f>J35/$J$13</f>
        <v>11984</v>
      </c>
      <c r="L35" s="11"/>
      <c r="M35" s="11"/>
      <c r="N35" s="11"/>
    </row>
    <row r="36" spans="2:14" ht="22.05" customHeight="1">
      <c r="B36" s="4" t="s">
        <v>44</v>
      </c>
      <c r="C36" s="36">
        <f>(G26*(C12-((C27/100)*C12)))*(C16/100)</f>
        <v>269400</v>
      </c>
      <c r="D36" s="38">
        <f t="shared" ref="D36:D39" si="0">C36/$C$13</f>
        <v>53880</v>
      </c>
      <c r="E36" s="11"/>
      <c r="F36" s="11"/>
      <c r="G36" s="11"/>
      <c r="H36" s="11"/>
      <c r="I36" s="4" t="s">
        <v>44</v>
      </c>
      <c r="J36" s="37">
        <f>(N26*(J12-((J27/100)*J12)))*(J16/100)</f>
        <v>256800</v>
      </c>
      <c r="K36" s="38">
        <f t="shared" ref="K36:K40" si="1">J36/$J$13</f>
        <v>51360</v>
      </c>
      <c r="L36" s="11"/>
      <c r="M36" s="11"/>
      <c r="N36" s="11"/>
    </row>
    <row r="37" spans="2:14" ht="22.05" customHeight="1">
      <c r="B37" s="4" t="s">
        <v>45</v>
      </c>
      <c r="C37" s="37">
        <f>C13*C14*D21*(0.8*F63)+C13*C14*D22*(0.8*F64)+C13*C14*D23*(F65*0.8)+C13*C14*D24*(F66*0.8)+C13*C14*D25*(F67*0.8)</f>
        <v>27599.207132160038</v>
      </c>
      <c r="D37" s="38">
        <f t="shared" si="0"/>
        <v>5519.8414264320072</v>
      </c>
      <c r="E37" s="11"/>
      <c r="F37" s="11"/>
      <c r="G37" s="11"/>
      <c r="H37" s="11"/>
      <c r="I37" s="4" t="s">
        <v>45</v>
      </c>
      <c r="J37" s="37">
        <f>J13*J14*K21*(0.8*M63)+J13*J14*K22*(0.8*M64)+J13*J14*K23*(M65*0.8)+J13*J14*K24*(M66*0.8)+J13*J14*K25*(M67*0.8)</f>
        <v>99196.132200000051</v>
      </c>
      <c r="K37" s="38">
        <f t="shared" si="1"/>
        <v>19839.226440000009</v>
      </c>
      <c r="L37" s="11"/>
      <c r="M37" s="11"/>
      <c r="N37" s="11"/>
    </row>
    <row r="38" spans="2:14" ht="22.05" customHeight="1">
      <c r="B38" s="4" t="s">
        <v>46</v>
      </c>
      <c r="C38" s="36">
        <f>IF(C15="El",(3*C50+E38*C51),IF(C15="Gas",(3*D50+E38*D51),IF(C15="Diesel",(3*E50+E38*E51),IF(C15="Bensin",(3*F50+E38*F51),IF(C15="HVO100",(3*E50+E38*E51))))))</f>
        <v>1800</v>
      </c>
      <c r="D38" s="38">
        <f t="shared" si="0"/>
        <v>360</v>
      </c>
      <c r="E38" s="12">
        <f>IF(C13&lt;4,0,(C13-3))</f>
        <v>2</v>
      </c>
      <c r="F38" s="11"/>
      <c r="G38" s="11"/>
      <c r="H38" s="11"/>
      <c r="I38" s="4" t="s">
        <v>46</v>
      </c>
      <c r="J38" s="36">
        <f>IF(J15="El",(3*J50+L38*J51),IF(J15="Gas",(3*K50+L38*K51),IF(J15="Diesel",(3*L50+L38*L51),IF(J15="Bensin",(3*M50+L38*M51),IF(J15="HVO100",(3*L50+L38*L51))))))</f>
        <v>29466</v>
      </c>
      <c r="K38" s="38">
        <f t="shared" si="1"/>
        <v>5893.2</v>
      </c>
      <c r="L38" s="12">
        <f>IF(J13&lt;4,0,(J13-3))</f>
        <v>2</v>
      </c>
      <c r="M38" s="11"/>
      <c r="N38" s="11"/>
    </row>
    <row r="39" spans="2:14" ht="22.05" customHeight="1">
      <c r="B39" s="4" t="s">
        <v>47</v>
      </c>
      <c r="C39" s="36">
        <f>C13*C18</f>
        <v>15000</v>
      </c>
      <c r="D39" s="38">
        <f t="shared" si="0"/>
        <v>3000</v>
      </c>
      <c r="E39" s="11"/>
      <c r="F39" s="11"/>
      <c r="G39" s="11"/>
      <c r="H39" s="11"/>
      <c r="I39" s="4" t="s">
        <v>47</v>
      </c>
      <c r="J39" s="36">
        <f>J13*J18</f>
        <v>25000</v>
      </c>
      <c r="K39" s="38">
        <f t="shared" si="1"/>
        <v>5000</v>
      </c>
      <c r="L39" s="11"/>
      <c r="M39" s="11"/>
      <c r="N39" s="11"/>
    </row>
    <row r="40" spans="2:14" ht="22.05" customHeight="1">
      <c r="B40" s="4" t="s">
        <v>48</v>
      </c>
      <c r="C40" s="36">
        <f>C13*C19</f>
        <v>50000</v>
      </c>
      <c r="D40" s="38">
        <f>C40/C13</f>
        <v>10000</v>
      </c>
      <c r="E40" s="11"/>
      <c r="F40" s="11"/>
      <c r="G40" s="11"/>
      <c r="H40" s="11"/>
      <c r="I40" s="4" t="s">
        <v>48</v>
      </c>
      <c r="J40" s="36">
        <f>J13*J19</f>
        <v>50000</v>
      </c>
      <c r="K40" s="38">
        <f t="shared" si="1"/>
        <v>10000</v>
      </c>
      <c r="L40" s="11"/>
      <c r="M40" s="11"/>
      <c r="N40" s="11"/>
    </row>
    <row r="41" spans="2:14" ht="21.6" thickBot="1">
      <c r="D41" s="5"/>
      <c r="K41" s="5"/>
    </row>
    <row r="42" spans="2:14" ht="29.4" thickTop="1">
      <c r="B42" s="14" t="s">
        <v>49</v>
      </c>
      <c r="C42" s="15">
        <f>SUM(C35:C40)</f>
        <v>426659.20713216002</v>
      </c>
      <c r="D42" s="15">
        <f>SUM(D35:D40)</f>
        <v>85331.841426432002</v>
      </c>
      <c r="E42" s="55">
        <f>QUOTIENT(D42,C14)</f>
        <v>42</v>
      </c>
      <c r="F42" s="55" t="s">
        <v>50</v>
      </c>
      <c r="G42" s="3"/>
      <c r="H42" s="3"/>
      <c r="I42" s="26" t="s">
        <v>49</v>
      </c>
      <c r="J42" s="27">
        <f>SUM(J35:J40)</f>
        <v>520382.13220000005</v>
      </c>
      <c r="K42" s="27">
        <f>SUM(K35:K40)</f>
        <v>104076.42644000001</v>
      </c>
      <c r="L42" s="55">
        <f>QUOTIENT(K42,J14)</f>
        <v>52</v>
      </c>
      <c r="M42" s="55" t="s">
        <v>50</v>
      </c>
    </row>
    <row r="44" spans="2:14" s="8" customFormat="1" ht="30" customHeight="1">
      <c r="B44" s="18" t="s">
        <v>51</v>
      </c>
      <c r="C44" s="28">
        <f>D44*C13</f>
        <v>1260.0000000000002</v>
      </c>
      <c r="D44" s="28">
        <f>C14*D21*C73+C14*D22*C71+C14*D23*C69+C14*D24*C70+C14*D25*C72</f>
        <v>252.00000000000003</v>
      </c>
      <c r="E44" s="19"/>
      <c r="F44" s="19"/>
      <c r="G44" s="19"/>
      <c r="H44" s="19"/>
      <c r="I44" s="18" t="s">
        <v>51</v>
      </c>
      <c r="J44" s="28">
        <f>K44*J13</f>
        <v>19364.400000000001</v>
      </c>
      <c r="K44" s="28">
        <f>J14*K21*C73+J14*K22*C71+J14*K23*C69+J14*K24*C70+J14*K25*C72</f>
        <v>3872.88</v>
      </c>
    </row>
    <row r="45" spans="2:14" s="8" customFormat="1" ht="30" customHeight="1">
      <c r="B45" s="18" t="s">
        <v>52</v>
      </c>
      <c r="C45" s="29">
        <f>C29*C44</f>
        <v>1890.0000000000005</v>
      </c>
      <c r="D45" s="29">
        <f>C29*D44</f>
        <v>378.00000000000006</v>
      </c>
      <c r="E45" s="19"/>
      <c r="F45" s="19"/>
      <c r="G45" s="19"/>
      <c r="H45" s="19"/>
      <c r="I45" s="18" t="s">
        <v>52</v>
      </c>
      <c r="J45" s="29">
        <f>J29*J44</f>
        <v>29046.600000000002</v>
      </c>
      <c r="K45" s="29">
        <f>J29*K44</f>
        <v>5809.32</v>
      </c>
    </row>
    <row r="49" spans="2:13" s="13" customFormat="1" ht="18">
      <c r="C49" s="25" t="s">
        <v>19</v>
      </c>
      <c r="D49" s="25" t="s">
        <v>20</v>
      </c>
      <c r="E49" s="25" t="s">
        <v>21</v>
      </c>
      <c r="F49" s="25" t="s">
        <v>22</v>
      </c>
      <c r="J49" s="25" t="s">
        <v>19</v>
      </c>
      <c r="K49" s="25" t="s">
        <v>20</v>
      </c>
      <c r="L49" s="25" t="s">
        <v>21</v>
      </c>
      <c r="M49" s="25" t="s">
        <v>22</v>
      </c>
    </row>
    <row r="50" spans="2:13" ht="22.05" customHeight="1">
      <c r="B50" s="4" t="s">
        <v>53</v>
      </c>
      <c r="C50" s="37">
        <f>C53</f>
        <v>360</v>
      </c>
      <c r="D50" s="37">
        <f>IF(C20&gt;125,5350,(C20-75)*107)*(IF(C20&gt;75,1,0))+C53+IF(C20&lt;125,0,(C20-125)*132)</f>
        <v>360</v>
      </c>
      <c r="E50" s="37">
        <f>IF(C20&gt;125,5350,(C20-75)*107)*(IF(C20&gt;75,1,0))+C53+IF(C20&lt;125,0,(C20-125)*132)+C56+C57</f>
        <v>610</v>
      </c>
      <c r="F50" s="37">
        <f>IF(C20&gt;125,5350,(C20-75)*107)*(IF(C20&gt;75,1,0))+C53+IF(C20&lt;125,0,(C20-125)*132)</f>
        <v>360</v>
      </c>
      <c r="I50" s="4" t="s">
        <v>53</v>
      </c>
      <c r="J50" s="37">
        <f>J53</f>
        <v>360</v>
      </c>
      <c r="K50" s="37">
        <f>IF(J20&gt;125,5350,(J20-75)*107)*(IF(J20&gt;75,1,0))+J53+IF(J20&lt;125,0,(J20-125)*132)</f>
        <v>9010</v>
      </c>
      <c r="L50" s="37">
        <f>IF(J20&gt;125,5350,(J20-75)*107)*(IF(J20&gt;75,1,0))+J53+IF(J20&lt;125,0,(J20-125)*132)+J56+J57</f>
        <v>11288</v>
      </c>
      <c r="M50" s="37">
        <f>IF(J20&gt;125,5350,(J20-75)*107)*(IF(J20&gt;75,1,0))+J53+IF(J20&lt;125,0,(J20-125)*132)</f>
        <v>9010</v>
      </c>
    </row>
    <row r="51" spans="2:13" ht="22.05" customHeight="1">
      <c r="B51" s="4" t="s">
        <v>54</v>
      </c>
      <c r="C51" s="37">
        <f>C53</f>
        <v>360</v>
      </c>
      <c r="D51" s="37">
        <f>IF(C20&lt;111,0,(C20-111)*11)+C53</f>
        <v>360</v>
      </c>
      <c r="E51" s="37">
        <f>IF(C20&lt;111,0,(C20-111)*22)+C53+C56+C57</f>
        <v>610</v>
      </c>
      <c r="F51" s="37">
        <f>IF(C20&lt;111,0,(C20-111)*22)+C53</f>
        <v>360</v>
      </c>
      <c r="I51" s="4" t="s">
        <v>54</v>
      </c>
      <c r="J51" s="37">
        <f>J53</f>
        <v>360</v>
      </c>
      <c r="K51" s="37">
        <f>IF(J20&lt;111,0,(J20-111)*11)+J53</f>
        <v>789</v>
      </c>
      <c r="L51" s="37">
        <f>IF(J20&lt;111,0,(J20-111)*22)+J53+J56+J57</f>
        <v>3496</v>
      </c>
      <c r="M51" s="37">
        <f>IF(J20&lt;111,0,(J20-111)*22)+J53</f>
        <v>1218</v>
      </c>
    </row>
    <row r="52" spans="2:13" ht="22.05" customHeight="1"/>
    <row r="53" spans="2:13" ht="22.05" customHeight="1">
      <c r="B53" s="4" t="s">
        <v>55</v>
      </c>
      <c r="C53" s="39">
        <v>360</v>
      </c>
      <c r="I53" s="4" t="s">
        <v>55</v>
      </c>
      <c r="J53" s="39">
        <v>360</v>
      </c>
    </row>
    <row r="54" spans="2:13" ht="22.05" customHeight="1">
      <c r="B54" s="4" t="s">
        <v>103</v>
      </c>
      <c r="C54" s="39">
        <v>107</v>
      </c>
      <c r="I54" s="4" t="s">
        <v>103</v>
      </c>
      <c r="J54" s="39">
        <v>107</v>
      </c>
    </row>
    <row r="55" spans="2:13" ht="22.05" customHeight="1">
      <c r="B55" s="4" t="s">
        <v>104</v>
      </c>
      <c r="C55" s="39">
        <v>132</v>
      </c>
      <c r="I55" s="4" t="s">
        <v>104</v>
      </c>
      <c r="J55" s="39">
        <v>132</v>
      </c>
    </row>
    <row r="56" spans="2:13" ht="22.05" customHeight="1">
      <c r="B56" s="4" t="s">
        <v>56</v>
      </c>
      <c r="C56" s="39">
        <f>C20*13.52</f>
        <v>0</v>
      </c>
      <c r="I56" s="4" t="s">
        <v>56</v>
      </c>
      <c r="J56" s="39">
        <f>J20*13.52</f>
        <v>2028</v>
      </c>
    </row>
    <row r="57" spans="2:13" ht="22.05" customHeight="1">
      <c r="B57" s="4" t="s">
        <v>57</v>
      </c>
      <c r="C57" s="39">
        <v>250</v>
      </c>
      <c r="I57" s="4" t="s">
        <v>57</v>
      </c>
      <c r="J57" s="39">
        <v>250</v>
      </c>
    </row>
    <row r="58" spans="2:13" ht="22.05" customHeight="1">
      <c r="C58" s="39"/>
      <c r="J58" s="39"/>
    </row>
    <row r="59" spans="2:13" s="81" customFormat="1">
      <c r="F59" s="202" t="s">
        <v>86</v>
      </c>
    </row>
    <row r="60" spans="2:13" s="81" customFormat="1">
      <c r="F60" s="202"/>
    </row>
    <row r="61" spans="2:13" s="81" customFormat="1" ht="23.4">
      <c r="B61" s="121" t="s">
        <v>87</v>
      </c>
      <c r="C61" s="122"/>
      <c r="D61" s="122"/>
      <c r="E61" s="122"/>
      <c r="F61" s="203"/>
      <c r="G61" s="122"/>
      <c r="H61" s="122"/>
      <c r="I61" s="121" t="s">
        <v>87</v>
      </c>
      <c r="J61" s="122"/>
      <c r="K61" s="122"/>
      <c r="L61" s="122"/>
      <c r="M61" s="122"/>
    </row>
    <row r="62" spans="2:13" s="81" customFormat="1">
      <c r="C62" s="123" t="s">
        <v>88</v>
      </c>
      <c r="D62" s="123" t="s">
        <v>89</v>
      </c>
      <c r="E62" s="81" t="s">
        <v>90</v>
      </c>
      <c r="F62" s="203"/>
      <c r="J62" s="123" t="s">
        <v>88</v>
      </c>
      <c r="K62" s="123" t="s">
        <v>89</v>
      </c>
      <c r="L62" s="81" t="s">
        <v>90</v>
      </c>
      <c r="M62" s="81" t="s">
        <v>98</v>
      </c>
    </row>
    <row r="63" spans="2:13" s="81" customFormat="1" ht="22.05" customHeight="1">
      <c r="B63" s="81" t="s">
        <v>91</v>
      </c>
      <c r="C63" s="124">
        <v>1.7</v>
      </c>
      <c r="D63" s="124">
        <v>6</v>
      </c>
      <c r="E63" s="109">
        <f>C13</f>
        <v>5</v>
      </c>
      <c r="F63" s="136">
        <f>C63 * ((1 + D63 / 100) ^ E63 - 1) / (E63 * (D63 / 100))</f>
        <v>1.9166116064000027</v>
      </c>
      <c r="I63" s="81" t="s">
        <v>91</v>
      </c>
      <c r="J63" s="124">
        <v>1.7</v>
      </c>
      <c r="K63" s="124">
        <v>6</v>
      </c>
      <c r="L63" s="109">
        <f>J13</f>
        <v>5</v>
      </c>
      <c r="M63" s="136">
        <f>J63 * ((1 + K63 / 100) ^ L63 - 1) / (L63 * (K63 / 100))</f>
        <v>1.9166116064000027</v>
      </c>
    </row>
    <row r="64" spans="2:13" s="81" customFormat="1" ht="22.05" customHeight="1">
      <c r="B64" s="81" t="s">
        <v>58</v>
      </c>
      <c r="C64" s="124">
        <v>30</v>
      </c>
      <c r="D64" s="124">
        <v>5.5</v>
      </c>
      <c r="E64" s="109">
        <f>C13</f>
        <v>5</v>
      </c>
      <c r="F64" s="136">
        <f>C64 * ((1 + D64 / 100) ^ E64 - 1) / (E64 * (D64 / 100))</f>
        <v>33.48654615374997</v>
      </c>
      <c r="I64" s="81" t="s">
        <v>58</v>
      </c>
      <c r="J64" s="124">
        <v>30</v>
      </c>
      <c r="K64" s="124">
        <v>5.5</v>
      </c>
      <c r="L64" s="109">
        <f>J13</f>
        <v>5</v>
      </c>
      <c r="M64" s="136">
        <f>J64 * ((1 + K64 / 100) ^ L64 - 1) / (L64 * (K64 / 100))</f>
        <v>33.48654615374997</v>
      </c>
    </row>
    <row r="65" spans="2:16" s="81" customFormat="1" ht="22.05" customHeight="1">
      <c r="B65" s="81" t="s">
        <v>59</v>
      </c>
      <c r="C65" s="124">
        <v>18</v>
      </c>
      <c r="D65" s="124">
        <v>7</v>
      </c>
      <c r="E65" s="109">
        <f>C13</f>
        <v>5</v>
      </c>
      <c r="F65" s="136">
        <f>C65 * ((1 + D65 / 100) ^ E65 - 1) / (E65 * (D65 / 100))</f>
        <v>20.702660436000006</v>
      </c>
      <c r="I65" s="81" t="s">
        <v>59</v>
      </c>
      <c r="J65" s="124">
        <v>18</v>
      </c>
      <c r="K65" s="124">
        <v>7</v>
      </c>
      <c r="L65" s="109">
        <f>J13</f>
        <v>5</v>
      </c>
      <c r="M65" s="136">
        <f>J65 * ((1 + K65 / 100) ^ L65 - 1) / (L65 * (K65 / 100))</f>
        <v>20.702660436000006</v>
      </c>
    </row>
    <row r="66" spans="2:16" s="81" customFormat="1" ht="22.05" customHeight="1">
      <c r="B66" s="81" t="s">
        <v>60</v>
      </c>
      <c r="C66" s="124">
        <v>17</v>
      </c>
      <c r="D66" s="124">
        <v>5</v>
      </c>
      <c r="E66" s="109">
        <f>C13</f>
        <v>5</v>
      </c>
      <c r="F66" s="136">
        <f>C66 * ((1 + D66 / 100) ^ E66 - 1) / (E66 * (D66 / 100))</f>
        <v>18.78714625000001</v>
      </c>
      <c r="I66" s="81" t="s">
        <v>60</v>
      </c>
      <c r="J66" s="124">
        <v>17</v>
      </c>
      <c r="K66" s="124">
        <v>5</v>
      </c>
      <c r="L66" s="109">
        <f>J13</f>
        <v>5</v>
      </c>
      <c r="M66" s="136">
        <f>J66 * ((1 + K66 / 100) ^ L66 - 1) / (L66 * (K66 / 100))</f>
        <v>18.78714625000001</v>
      </c>
    </row>
    <row r="67" spans="2:16" s="81" customFormat="1" ht="22.05" customHeight="1">
      <c r="B67" s="81" t="s">
        <v>61</v>
      </c>
      <c r="C67" s="124">
        <v>21</v>
      </c>
      <c r="D67" s="124">
        <v>9</v>
      </c>
      <c r="E67" s="109">
        <f>C13</f>
        <v>5</v>
      </c>
      <c r="F67" s="136">
        <f>C67 * ((1 + D67 / 100) ^ E67 - 1) / (E67 * (D67 / 100))</f>
        <v>25.135784562000026</v>
      </c>
      <c r="I67" s="81" t="s">
        <v>61</v>
      </c>
      <c r="J67" s="124">
        <v>21</v>
      </c>
      <c r="K67" s="124">
        <v>9</v>
      </c>
      <c r="L67" s="109">
        <f>J13</f>
        <v>5</v>
      </c>
      <c r="M67" s="136">
        <f>J67 * ((1 + K67 / 100) ^ L67 - 1) / (L67 * (K67 / 100))</f>
        <v>25.135784562000026</v>
      </c>
    </row>
    <row r="68" spans="2:16" ht="22.05" customHeight="1"/>
    <row r="69" spans="2:16" ht="22.05" customHeight="1">
      <c r="B69" s="4" t="s">
        <v>62</v>
      </c>
      <c r="C69" s="39">
        <v>2.6989999999999998</v>
      </c>
    </row>
    <row r="70" spans="2:16" ht="22.05" customHeight="1">
      <c r="B70" s="4" t="s">
        <v>63</v>
      </c>
      <c r="C70" s="39">
        <v>2.9340000000000002</v>
      </c>
    </row>
    <row r="71" spans="2:16" ht="22.05" customHeight="1">
      <c r="B71" s="4" t="s">
        <v>64</v>
      </c>
      <c r="C71" s="39">
        <v>0.59099999999999997</v>
      </c>
    </row>
    <row r="72" spans="2:16" ht="22.05" customHeight="1">
      <c r="B72" s="4" t="s">
        <v>65</v>
      </c>
      <c r="C72" s="39">
        <v>0.44900000000000001</v>
      </c>
    </row>
    <row r="73" spans="2:16" ht="22.05" customHeight="1">
      <c r="B73" s="4" t="s">
        <v>66</v>
      </c>
      <c r="C73" s="39">
        <v>7.0000000000000007E-2</v>
      </c>
    </row>
    <row r="76" spans="2:16">
      <c r="B76" s="30"/>
      <c r="C76" s="30"/>
      <c r="D76" s="30"/>
      <c r="E76" s="30"/>
      <c r="F76" s="30"/>
      <c r="G76" s="30"/>
      <c r="H76" s="30"/>
      <c r="I76" s="30"/>
      <c r="J76" s="30"/>
      <c r="K76" s="30"/>
      <c r="L76" s="30"/>
      <c r="M76" s="30"/>
      <c r="N76" s="30"/>
      <c r="O76" s="30"/>
      <c r="P76" s="30"/>
    </row>
    <row r="77" spans="2:16">
      <c r="B77" s="4" t="s">
        <v>67</v>
      </c>
    </row>
    <row r="79" spans="2:16">
      <c r="B79" s="31" t="s">
        <v>1</v>
      </c>
      <c r="I79" s="31" t="s">
        <v>68</v>
      </c>
    </row>
    <row r="80" spans="2:16" ht="5.0999999999999996" customHeight="1"/>
    <row r="81" spans="2:11" ht="50.1" customHeight="1">
      <c r="B81" s="193" t="s">
        <v>2</v>
      </c>
      <c r="C81" s="193"/>
      <c r="D81" s="193"/>
      <c r="E81" s="193"/>
      <c r="I81" s="192" t="s">
        <v>70</v>
      </c>
      <c r="J81" s="192"/>
      <c r="K81" s="192"/>
    </row>
    <row r="83" spans="2:11">
      <c r="B83" s="31"/>
      <c r="I83" s="31" t="s">
        <v>72</v>
      </c>
    </row>
    <row r="84" spans="2:11" ht="5.0999999999999996" customHeight="1"/>
    <row r="85" spans="2:11" ht="50.1" customHeight="1">
      <c r="B85" s="193"/>
      <c r="C85" s="193"/>
      <c r="D85" s="193"/>
      <c r="E85" s="193"/>
      <c r="I85" s="193" t="s">
        <v>73</v>
      </c>
      <c r="J85" s="193"/>
      <c r="K85" s="193"/>
    </row>
    <row r="86" spans="2:11">
      <c r="I86" s="31"/>
    </row>
    <row r="87" spans="2:11">
      <c r="B87" s="31" t="s">
        <v>4</v>
      </c>
      <c r="I87" s="44" t="s">
        <v>74</v>
      </c>
    </row>
    <row r="88" spans="2:11" ht="4.05" customHeight="1"/>
    <row r="89" spans="2:11" ht="22.05" customHeight="1">
      <c r="B89" s="192" t="s">
        <v>5</v>
      </c>
      <c r="C89" s="192"/>
      <c r="D89" s="192"/>
      <c r="E89" s="192"/>
      <c r="I89" s="193" t="s">
        <v>75</v>
      </c>
      <c r="J89" s="193"/>
      <c r="K89" s="193"/>
    </row>
    <row r="90" spans="2:11">
      <c r="B90" s="192"/>
      <c r="C90" s="192"/>
      <c r="D90" s="192"/>
      <c r="E90" s="192"/>
      <c r="I90" s="193"/>
      <c r="J90" s="193"/>
      <c r="K90" s="193"/>
    </row>
    <row r="91" spans="2:11" ht="74.099999999999994" customHeight="1"/>
  </sheetData>
  <mergeCells count="14">
    <mergeCell ref="F59:F62"/>
    <mergeCell ref="C6:I6"/>
    <mergeCell ref="J6:K6"/>
    <mergeCell ref="C1:I4"/>
    <mergeCell ref="J3:K3"/>
    <mergeCell ref="J4:K4"/>
    <mergeCell ref="C5:I5"/>
    <mergeCell ref="J5:K5"/>
    <mergeCell ref="B81:E81"/>
    <mergeCell ref="I81:K81"/>
    <mergeCell ref="B85:E85"/>
    <mergeCell ref="I85:K85"/>
    <mergeCell ref="B89:E90"/>
    <mergeCell ref="I89:K90"/>
  </mergeCells>
  <dataValidations disablePrompts="1" count="2">
    <dataValidation type="list" allowBlank="1" showInputMessage="1" showErrorMessage="1" sqref="C26 J26" xr:uid="{0A2DA01C-6009-414C-AB56-C3CE4CBE0DF8}">
      <formula1>$D$26:$F$26</formula1>
    </dataValidation>
    <dataValidation type="list" allowBlank="1" showInputMessage="1" showErrorMessage="1" sqref="C15 J15" xr:uid="{188E6EBC-2BF9-49EF-8E16-8FDF9E17B10C}">
      <formula1>$D$15:$H$15</formula1>
    </dataValidation>
  </dataValidations>
  <hyperlinks>
    <hyperlink ref="C8" location="Info!A1" display="Till innehållsförteckning" xr:uid="{684827AC-8029-4B8D-9BF9-BE357884F40E}"/>
  </hyperlinks>
  <pageMargins left="1" right="1" top="1" bottom="1" header="0.5" footer="0.5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B7CBC1-089E-41BD-8313-CFF4CD6D05A0}">
  <dimension ref="A1:P91"/>
  <sheetViews>
    <sheetView showGridLines="0" zoomScale="50" zoomScaleNormal="50" workbookViewId="0">
      <selection activeCell="B9" sqref="B9"/>
    </sheetView>
  </sheetViews>
  <sheetFormatPr defaultColWidth="8.77734375" defaultRowHeight="21"/>
  <cols>
    <col min="1" max="1" width="8.77734375" style="4"/>
    <col min="2" max="2" width="50.77734375" style="4" customWidth="1"/>
    <col min="3" max="6" width="25.77734375" style="4" customWidth="1"/>
    <col min="7" max="7" width="9" style="4" bestFit="1" customWidth="1"/>
    <col min="8" max="8" width="8.77734375" style="4"/>
    <col min="9" max="9" width="50.77734375" style="4" customWidth="1"/>
    <col min="10" max="13" width="25.77734375" style="4" customWidth="1"/>
    <col min="14" max="14" width="9" style="4" bestFit="1" customWidth="1"/>
    <col min="15" max="15" width="49.5546875" style="4" customWidth="1"/>
    <col min="16" max="16384" width="8.77734375" style="4"/>
  </cols>
  <sheetData>
    <row r="1" spans="1:15" s="9" customFormat="1" ht="24" customHeight="1">
      <c r="A1" s="4"/>
      <c r="B1" s="46"/>
      <c r="C1" s="194" t="s">
        <v>6</v>
      </c>
      <c r="D1" s="195"/>
      <c r="E1" s="195"/>
      <c r="F1" s="195"/>
      <c r="G1" s="195"/>
      <c r="H1" s="195"/>
      <c r="I1" s="195"/>
      <c r="J1" s="49"/>
      <c r="K1" s="49"/>
      <c r="L1" s="6"/>
      <c r="M1" s="6"/>
      <c r="N1" s="6"/>
      <c r="O1" s="6"/>
    </row>
    <row r="2" spans="1:15" s="9" customFormat="1" ht="30" customHeight="1">
      <c r="A2" s="4"/>
      <c r="B2" s="46"/>
      <c r="C2" s="195"/>
      <c r="D2" s="195"/>
      <c r="E2" s="195"/>
      <c r="F2" s="195"/>
      <c r="G2" s="195"/>
      <c r="H2" s="195"/>
      <c r="I2" s="195"/>
      <c r="J2" s="52">
        <v>45261</v>
      </c>
      <c r="K2" s="49"/>
      <c r="L2" s="6"/>
      <c r="M2" s="6"/>
      <c r="N2" s="6"/>
      <c r="O2" s="6"/>
    </row>
    <row r="3" spans="1:15" s="9" customFormat="1" ht="27" customHeight="1">
      <c r="A3" s="4"/>
      <c r="B3" s="46"/>
      <c r="C3" s="195"/>
      <c r="D3" s="195"/>
      <c r="E3" s="195"/>
      <c r="F3" s="195"/>
      <c r="G3" s="195"/>
      <c r="H3" s="195"/>
      <c r="I3" s="195"/>
      <c r="J3" s="196" t="s">
        <v>7</v>
      </c>
      <c r="K3" s="196"/>
      <c r="L3" s="6"/>
      <c r="M3" s="6"/>
      <c r="N3" s="6"/>
      <c r="O3" s="6"/>
    </row>
    <row r="4" spans="1:15" s="9" customFormat="1" ht="28.05" customHeight="1">
      <c r="A4" s="4"/>
      <c r="B4" s="46"/>
      <c r="C4" s="195"/>
      <c r="D4" s="195"/>
      <c r="E4" s="195"/>
      <c r="F4" s="195"/>
      <c r="G4" s="195"/>
      <c r="H4" s="195"/>
      <c r="I4" s="195"/>
      <c r="J4" s="197" t="s">
        <v>8</v>
      </c>
      <c r="K4" s="197"/>
      <c r="L4" s="6"/>
      <c r="M4" s="6"/>
      <c r="N4" s="6"/>
      <c r="O4" s="6"/>
    </row>
    <row r="5" spans="1:15" s="9" customFormat="1" ht="33" customHeight="1">
      <c r="A5" s="4"/>
      <c r="B5" s="46"/>
      <c r="C5" s="198" t="s">
        <v>130</v>
      </c>
      <c r="D5" s="198"/>
      <c r="E5" s="198"/>
      <c r="F5" s="198"/>
      <c r="G5" s="198"/>
      <c r="H5" s="198"/>
      <c r="I5" s="198"/>
      <c r="J5" s="199" t="s">
        <v>9</v>
      </c>
      <c r="K5" s="199"/>
      <c r="L5" s="6"/>
      <c r="M5" s="6"/>
      <c r="N5" s="6"/>
      <c r="O5" s="6"/>
    </row>
    <row r="6" spans="1:15" s="9" customFormat="1" ht="33" customHeight="1">
      <c r="A6" s="4"/>
      <c r="B6" s="46"/>
      <c r="C6" s="200" t="s">
        <v>10</v>
      </c>
      <c r="D6" s="200"/>
      <c r="E6" s="200"/>
      <c r="F6" s="200"/>
      <c r="G6" s="200"/>
      <c r="H6" s="200"/>
      <c r="I6" s="200"/>
      <c r="J6" s="201" t="s">
        <v>11</v>
      </c>
      <c r="K6" s="201"/>
      <c r="L6" s="6"/>
      <c r="M6" s="6"/>
      <c r="N6" s="6"/>
      <c r="O6" s="6"/>
    </row>
    <row r="7" spans="1:15" s="10" customFormat="1" ht="24" customHeight="1">
      <c r="A7" s="47"/>
      <c r="B7" s="48"/>
      <c r="C7" s="50"/>
      <c r="D7" s="50"/>
      <c r="E7" s="50"/>
      <c r="F7" s="50"/>
      <c r="G7" s="51"/>
      <c r="H7" s="51"/>
      <c r="I7" s="51"/>
      <c r="J7" s="51"/>
      <c r="K7" s="51"/>
      <c r="L7" s="7"/>
      <c r="M7" s="7"/>
      <c r="N7" s="7"/>
      <c r="O7" s="7"/>
    </row>
    <row r="8" spans="1:15" ht="22.05" customHeight="1">
      <c r="C8" s="178" t="s">
        <v>126</v>
      </c>
    </row>
    <row r="9" spans="1:15" s="1" customFormat="1" ht="33.6">
      <c r="B9" s="2" t="s">
        <v>12</v>
      </c>
      <c r="I9" s="2" t="s">
        <v>13</v>
      </c>
    </row>
    <row r="10" spans="1:15">
      <c r="D10" s="16"/>
    </row>
    <row r="11" spans="1:15">
      <c r="B11" s="4" t="s">
        <v>14</v>
      </c>
      <c r="C11" s="21" t="s">
        <v>84</v>
      </c>
      <c r="I11" s="4" t="s">
        <v>14</v>
      </c>
      <c r="J11" s="21" t="s">
        <v>85</v>
      </c>
    </row>
    <row r="12" spans="1:15" ht="22.05" customHeight="1">
      <c r="B12" s="17" t="s">
        <v>15</v>
      </c>
      <c r="C12" s="20">
        <v>449000</v>
      </c>
      <c r="D12" s="33"/>
      <c r="E12" s="11"/>
      <c r="F12" s="11"/>
      <c r="G12" s="11"/>
      <c r="H12" s="11"/>
      <c r="I12" s="4" t="s">
        <v>15</v>
      </c>
      <c r="J12" s="43">
        <v>428000</v>
      </c>
      <c r="K12" s="35"/>
      <c r="L12" s="11"/>
      <c r="M12" s="11"/>
      <c r="N12" s="11"/>
      <c r="O12" s="40"/>
    </row>
    <row r="13" spans="1:15" ht="22.05" customHeight="1">
      <c r="B13" s="17" t="s">
        <v>16</v>
      </c>
      <c r="C13" s="42">
        <v>5</v>
      </c>
      <c r="D13" s="34"/>
      <c r="E13" s="11"/>
      <c r="F13" s="11"/>
      <c r="G13" s="11"/>
      <c r="H13" s="11"/>
      <c r="I13" s="4" t="s">
        <v>16</v>
      </c>
      <c r="J13" s="22">
        <v>5</v>
      </c>
      <c r="K13" s="35"/>
      <c r="L13" s="11"/>
      <c r="M13" s="11"/>
      <c r="N13" s="11"/>
      <c r="O13" s="40"/>
    </row>
    <row r="14" spans="1:15" ht="22.05" customHeight="1">
      <c r="B14" s="17" t="s">
        <v>17</v>
      </c>
      <c r="C14" s="20">
        <v>4500</v>
      </c>
      <c r="D14" s="35"/>
      <c r="E14" s="11"/>
      <c r="F14" s="11"/>
      <c r="G14" s="11"/>
      <c r="H14" s="11"/>
      <c r="I14" s="4" t="s">
        <v>17</v>
      </c>
      <c r="J14" s="22">
        <v>4500</v>
      </c>
      <c r="K14" s="35"/>
      <c r="L14" s="11"/>
      <c r="M14" s="11"/>
      <c r="N14" s="11"/>
      <c r="O14" s="41"/>
    </row>
    <row r="15" spans="1:15" ht="22.05" customHeight="1">
      <c r="B15" s="17" t="s">
        <v>18</v>
      </c>
      <c r="C15" s="23" t="s">
        <v>19</v>
      </c>
      <c r="D15" s="35" t="s">
        <v>19</v>
      </c>
      <c r="E15" s="12" t="s">
        <v>20</v>
      </c>
      <c r="F15" s="12" t="s">
        <v>21</v>
      </c>
      <c r="G15" s="12" t="s">
        <v>22</v>
      </c>
      <c r="H15" s="12" t="s">
        <v>23</v>
      </c>
      <c r="I15" s="4" t="s">
        <v>18</v>
      </c>
      <c r="J15" s="24" t="s">
        <v>22</v>
      </c>
      <c r="K15" s="35" t="s">
        <v>19</v>
      </c>
      <c r="L15" s="12" t="s">
        <v>20</v>
      </c>
      <c r="M15" s="12" t="s">
        <v>21</v>
      </c>
      <c r="N15" s="12" t="s">
        <v>22</v>
      </c>
      <c r="O15" s="40"/>
    </row>
    <row r="16" spans="1:15" ht="22.05" customHeight="1">
      <c r="B16" s="17" t="s">
        <v>24</v>
      </c>
      <c r="C16" s="20">
        <v>80</v>
      </c>
      <c r="D16" s="35"/>
      <c r="E16" s="11"/>
      <c r="F16" s="11"/>
      <c r="G16" s="11"/>
      <c r="H16" s="11"/>
      <c r="I16" s="4" t="s">
        <v>24</v>
      </c>
      <c r="J16" s="22">
        <v>80</v>
      </c>
      <c r="K16" s="35"/>
      <c r="L16" s="11"/>
      <c r="M16" s="11"/>
      <c r="N16" s="11"/>
    </row>
    <row r="17" spans="2:14" ht="22.05" customHeight="1">
      <c r="B17" s="17" t="s">
        <v>25</v>
      </c>
      <c r="C17" s="20">
        <v>4</v>
      </c>
      <c r="D17" s="35"/>
      <c r="E17" s="11"/>
      <c r="F17" s="11"/>
      <c r="G17" s="11"/>
      <c r="H17" s="11"/>
      <c r="I17" s="4" t="s">
        <v>25</v>
      </c>
      <c r="J17" s="22">
        <v>4</v>
      </c>
      <c r="K17" s="35"/>
      <c r="L17" s="11"/>
      <c r="M17" s="11"/>
      <c r="N17" s="11"/>
    </row>
    <row r="18" spans="2:14" ht="22.05" customHeight="1">
      <c r="B18" s="17" t="s">
        <v>26</v>
      </c>
      <c r="C18" s="20">
        <v>3000</v>
      </c>
      <c r="D18" s="35"/>
      <c r="E18" s="11"/>
      <c r="F18" s="11"/>
      <c r="G18" s="11"/>
      <c r="H18" s="11"/>
      <c r="I18" s="4" t="s">
        <v>26</v>
      </c>
      <c r="J18" s="22">
        <v>5000</v>
      </c>
      <c r="K18" s="35"/>
      <c r="L18" s="11"/>
      <c r="M18" s="11"/>
      <c r="N18" s="11"/>
    </row>
    <row r="19" spans="2:14" ht="22.05" customHeight="1">
      <c r="B19" s="17" t="s">
        <v>27</v>
      </c>
      <c r="C19" s="20">
        <v>10000</v>
      </c>
      <c r="D19" s="35"/>
      <c r="E19" s="11"/>
      <c r="F19" s="11"/>
      <c r="G19" s="11"/>
      <c r="H19" s="11"/>
      <c r="I19" s="4" t="s">
        <v>27</v>
      </c>
      <c r="J19" s="22">
        <v>10000</v>
      </c>
      <c r="K19" s="35"/>
      <c r="L19" s="11"/>
      <c r="M19" s="11"/>
      <c r="N19" s="11"/>
    </row>
    <row r="20" spans="2:14" ht="22.05" customHeight="1">
      <c r="B20" s="17" t="s">
        <v>28</v>
      </c>
      <c r="C20" s="20">
        <v>0</v>
      </c>
      <c r="D20" s="35"/>
      <c r="E20" s="11"/>
      <c r="F20" s="11"/>
      <c r="G20" s="11"/>
      <c r="H20" s="11"/>
      <c r="I20" s="4" t="s">
        <v>28</v>
      </c>
      <c r="J20" s="22">
        <v>150</v>
      </c>
      <c r="K20" s="35"/>
      <c r="L20" s="11"/>
      <c r="M20" s="11"/>
      <c r="N20" s="11"/>
    </row>
    <row r="21" spans="2:14" ht="22.05" customHeight="1">
      <c r="B21" s="17" t="s">
        <v>29</v>
      </c>
      <c r="C21" s="20">
        <v>1.8</v>
      </c>
      <c r="D21" s="35">
        <f>IF($C$15="El",C21,0)</f>
        <v>1.8</v>
      </c>
      <c r="E21" s="11"/>
      <c r="F21" s="11"/>
      <c r="G21" s="11"/>
      <c r="H21" s="11"/>
      <c r="I21" s="4" t="s">
        <v>29</v>
      </c>
      <c r="J21" s="22">
        <v>0</v>
      </c>
      <c r="K21" s="35">
        <f>IF($J$15="El",J21,0)</f>
        <v>0</v>
      </c>
      <c r="L21" s="11"/>
      <c r="M21" s="11"/>
      <c r="N21" s="11"/>
    </row>
    <row r="22" spans="2:14" ht="22.05" customHeight="1">
      <c r="B22" s="17" t="s">
        <v>30</v>
      </c>
      <c r="C22" s="20">
        <v>0</v>
      </c>
      <c r="D22" s="35">
        <f>IF($C$15="Gas",C22,0)</f>
        <v>0</v>
      </c>
      <c r="E22" s="11"/>
      <c r="F22" s="11"/>
      <c r="G22" s="11"/>
      <c r="H22" s="11"/>
      <c r="I22" s="4" t="s">
        <v>30</v>
      </c>
      <c r="J22" s="22">
        <v>0</v>
      </c>
      <c r="K22" s="35">
        <f>IF($J$15="Gas",J22,0)</f>
        <v>0</v>
      </c>
      <c r="L22" s="11"/>
      <c r="M22" s="11"/>
      <c r="N22" s="11"/>
    </row>
    <row r="23" spans="2:14" ht="22.05" customHeight="1">
      <c r="B23" s="17" t="s">
        <v>31</v>
      </c>
      <c r="C23" s="20">
        <v>0</v>
      </c>
      <c r="D23" s="35">
        <f>IF($C$15="Diesel",C23,0)</f>
        <v>0</v>
      </c>
      <c r="E23" s="11"/>
      <c r="F23" s="11"/>
      <c r="G23" s="11"/>
      <c r="H23" s="11"/>
      <c r="I23" s="4" t="s">
        <v>31</v>
      </c>
      <c r="J23" s="22">
        <v>0</v>
      </c>
      <c r="K23" s="35">
        <f>IF($J$15="Diesel",J23,0)</f>
        <v>0</v>
      </c>
      <c r="L23" s="11"/>
      <c r="M23" s="11"/>
      <c r="N23" s="11"/>
    </row>
    <row r="24" spans="2:14" ht="22.05" customHeight="1">
      <c r="B24" s="17" t="s">
        <v>32</v>
      </c>
      <c r="C24" s="20">
        <v>0</v>
      </c>
      <c r="D24" s="35">
        <f>IF($C$15="Bensin",C24,0)+IF($C$15="Gas",C24,0)</f>
        <v>0</v>
      </c>
      <c r="E24" s="11"/>
      <c r="F24" s="11"/>
      <c r="G24" s="11"/>
      <c r="H24" s="11"/>
      <c r="I24" s="4" t="s">
        <v>32</v>
      </c>
      <c r="J24" s="22">
        <v>0.66</v>
      </c>
      <c r="K24" s="35">
        <f>IF($J$15="Bensin",J24,0)+IF($J$15="Gas",J24,0)</f>
        <v>0.66</v>
      </c>
      <c r="L24" s="11"/>
      <c r="M24" s="11"/>
      <c r="N24" s="11"/>
    </row>
    <row r="25" spans="2:14" ht="22.05" customHeight="1">
      <c r="B25" s="17" t="s">
        <v>33</v>
      </c>
      <c r="C25" s="20">
        <v>0</v>
      </c>
      <c r="D25" s="35">
        <f>IF($C$15="HVO100",C25,0)</f>
        <v>0</v>
      </c>
      <c r="E25" s="11"/>
      <c r="F25" s="11"/>
      <c r="G25" s="11"/>
      <c r="H25" s="11"/>
      <c r="I25" s="4" t="s">
        <v>33</v>
      </c>
      <c r="J25" s="22">
        <v>0</v>
      </c>
      <c r="K25" s="35">
        <f>IF($J$15="HVO100",J25,0)</f>
        <v>0</v>
      </c>
      <c r="L25" s="11"/>
      <c r="M25" s="11"/>
      <c r="N25" s="11"/>
    </row>
    <row r="26" spans="2:14" ht="22.05" customHeight="1">
      <c r="B26" s="17" t="s">
        <v>34</v>
      </c>
      <c r="C26" s="23" t="s">
        <v>35</v>
      </c>
      <c r="D26" s="35" t="s">
        <v>36</v>
      </c>
      <c r="E26" s="12" t="s">
        <v>37</v>
      </c>
      <c r="F26" s="12" t="s">
        <v>35</v>
      </c>
      <c r="G26" s="12">
        <f>IF(C26="Fullt",0.8,IF(C26="Halvt",0.8888,1))</f>
        <v>1</v>
      </c>
      <c r="H26" s="11"/>
      <c r="I26" s="4" t="s">
        <v>34</v>
      </c>
      <c r="J26" s="24" t="s">
        <v>35</v>
      </c>
      <c r="K26" s="35" t="s">
        <v>36</v>
      </c>
      <c r="L26" s="12" t="s">
        <v>37</v>
      </c>
      <c r="M26" s="12" t="s">
        <v>35</v>
      </c>
      <c r="N26" s="12">
        <f>IF(J26="Fullt",0.8,IF(J26="Halvt",0.8888,1))</f>
        <v>1</v>
      </c>
    </row>
    <row r="27" spans="2:14" ht="22.05" customHeight="1">
      <c r="B27" s="17" t="s">
        <v>38</v>
      </c>
      <c r="C27" s="20">
        <v>0</v>
      </c>
      <c r="D27" s="35"/>
      <c r="E27" s="12"/>
      <c r="F27" s="12"/>
      <c r="G27" s="12"/>
      <c r="H27" s="11"/>
      <c r="I27" s="4" t="s">
        <v>38</v>
      </c>
      <c r="J27" s="22">
        <v>0</v>
      </c>
      <c r="K27" s="35"/>
      <c r="L27" s="12"/>
      <c r="M27" s="12"/>
      <c r="N27" s="12"/>
    </row>
    <row r="28" spans="2:14" ht="22.05" customHeight="1">
      <c r="B28" s="17" t="s">
        <v>39</v>
      </c>
      <c r="C28" s="20"/>
      <c r="D28" s="35"/>
      <c r="E28" s="11"/>
      <c r="F28"/>
      <c r="G28" s="11"/>
      <c r="H28" s="11"/>
      <c r="I28" s="4" t="s">
        <v>39</v>
      </c>
      <c r="J28" s="22"/>
      <c r="K28" s="35"/>
      <c r="L28" s="11"/>
      <c r="M28" s="11"/>
      <c r="N28" s="11"/>
    </row>
    <row r="29" spans="2:14" ht="22.05" customHeight="1">
      <c r="B29" s="17" t="s">
        <v>40</v>
      </c>
      <c r="C29" s="20">
        <v>1.5</v>
      </c>
      <c r="D29" s="35"/>
      <c r="E29" s="11"/>
      <c r="F29" s="11"/>
      <c r="G29" s="11"/>
      <c r="H29" s="11"/>
      <c r="I29" s="4" t="s">
        <v>40</v>
      </c>
      <c r="J29" s="22">
        <v>1.5</v>
      </c>
      <c r="K29" s="35"/>
      <c r="L29" s="11"/>
      <c r="M29" s="11"/>
      <c r="N29" s="11"/>
    </row>
    <row r="30" spans="2:14" ht="22.05" customHeight="1">
      <c r="D30" s="45"/>
      <c r="K30" s="12"/>
      <c r="L30" s="11"/>
      <c r="M30" s="11"/>
      <c r="N30" s="11"/>
    </row>
    <row r="33" spans="2:14" s="32" customFormat="1">
      <c r="C33" s="25" t="s">
        <v>41</v>
      </c>
      <c r="D33" s="25" t="s">
        <v>42</v>
      </c>
      <c r="E33" s="25"/>
      <c r="F33" s="25"/>
      <c r="G33" s="25"/>
      <c r="H33" s="25"/>
      <c r="I33" s="25"/>
      <c r="J33" s="25" t="s">
        <v>41</v>
      </c>
      <c r="K33" s="25" t="s">
        <v>42</v>
      </c>
    </row>
    <row r="34" spans="2:14" ht="5.0999999999999996" customHeight="1"/>
    <row r="35" spans="2:14" ht="22.05" customHeight="1">
      <c r="B35" s="4" t="s">
        <v>43</v>
      </c>
      <c r="C35" s="37">
        <f>(((G26*(C12-C30-((C27/100)*C12)))*(1-(C16/200))*(C17/100)))*C13</f>
        <v>53880</v>
      </c>
      <c r="D35" s="38">
        <f>C35/$C$13</f>
        <v>10776</v>
      </c>
      <c r="E35" s="11"/>
      <c r="F35" s="11"/>
      <c r="G35" s="11"/>
      <c r="H35" s="11"/>
      <c r="I35" s="4" t="s">
        <v>43</v>
      </c>
      <c r="J35" s="37">
        <f>(((N26*(J12-J30-((J27/100)*J12)))*(1-(J16/200))*(J17/100)))*J13</f>
        <v>51360</v>
      </c>
      <c r="K35" s="38">
        <f>J35/$J$13</f>
        <v>10272</v>
      </c>
      <c r="L35" s="11"/>
      <c r="M35" s="11"/>
      <c r="N35" s="11"/>
    </row>
    <row r="36" spans="2:14" ht="22.05" customHeight="1">
      <c r="B36" s="4" t="s">
        <v>44</v>
      </c>
      <c r="C36" s="37">
        <f>(G26*(C12-((C27/100)*C12)))*(C16/100)</f>
        <v>359200</v>
      </c>
      <c r="D36" s="38">
        <f t="shared" ref="D36:D39" si="0">C36/$C$13</f>
        <v>71840</v>
      </c>
      <c r="E36" s="11"/>
      <c r="F36" s="11"/>
      <c r="G36" s="11"/>
      <c r="H36" s="11"/>
      <c r="I36" s="4" t="s">
        <v>44</v>
      </c>
      <c r="J36" s="37">
        <f>(N26*(J12-((J27/100)*J12)))*(J16/100)</f>
        <v>342400</v>
      </c>
      <c r="K36" s="38">
        <f t="shared" ref="K36:K40" si="1">J36/$J$13</f>
        <v>68480</v>
      </c>
      <c r="L36" s="11"/>
      <c r="M36" s="11"/>
      <c r="N36" s="11"/>
    </row>
    <row r="37" spans="2:14" ht="22.05" customHeight="1">
      <c r="B37" s="4" t="s">
        <v>45</v>
      </c>
      <c r="C37" s="37">
        <f>C13*C14*D21*(0.8*F63)+C13*C14*D22*(0.8*F64)+C13*C14*D23*(F65*0.8)+C13*C14*D24*(F66*0.8)+C13*C14*D25*(F67*0.8)</f>
        <v>62098.216047360089</v>
      </c>
      <c r="D37" s="38">
        <f t="shared" si="0"/>
        <v>12419.643209472018</v>
      </c>
      <c r="E37" s="11"/>
      <c r="F37" s="11"/>
      <c r="G37" s="11"/>
      <c r="H37" s="11"/>
      <c r="I37" s="4" t="s">
        <v>45</v>
      </c>
      <c r="J37" s="37">
        <f>J13*J14*K21*(0.8*M63)+J13*J14*K22*(0.8*M64)+J13*J14*K23*(M65*0.8)+J13*J14*K24*(M66*0.8)+J13*J14*K25*(M67*0.8)</f>
        <v>223191.29745000013</v>
      </c>
      <c r="K37" s="38">
        <f t="shared" si="1"/>
        <v>44638.259490000026</v>
      </c>
      <c r="L37" s="11"/>
      <c r="M37" s="11"/>
      <c r="N37" s="11"/>
    </row>
    <row r="38" spans="2:14" ht="22.05" customHeight="1">
      <c r="B38" s="4" t="s">
        <v>46</v>
      </c>
      <c r="C38" s="37">
        <f>IF(C15="El",(3*C50+E38*C51),IF(C15="Gas",(3*D50+E38*D51),IF(C15="Diesel",(3*E50+E38*E51),IF(C15="Bensin",(3*F50+E38*F51),IF(C15="HVO100",(3*E50+E38*E51))))))</f>
        <v>1800</v>
      </c>
      <c r="D38" s="38">
        <f t="shared" si="0"/>
        <v>360</v>
      </c>
      <c r="E38" s="12">
        <f>IF(C13&lt;4,0,(C13-3))</f>
        <v>2</v>
      </c>
      <c r="F38" s="11"/>
      <c r="G38" s="11"/>
      <c r="H38" s="11"/>
      <c r="I38" s="4" t="s">
        <v>46</v>
      </c>
      <c r="J38" s="37">
        <f>IF(J15="El",(3*J50+L38*J51),IF(J15="Gas",(3*K50+L38*K51),IF(J15="Diesel",(3*L50+L38*L51),IF(J15="Bensin",(3*M50+L38*M51),IF(J15="HVO100",(3*L50+L38*L51))))))</f>
        <v>29466</v>
      </c>
      <c r="K38" s="38">
        <f t="shared" si="1"/>
        <v>5893.2</v>
      </c>
      <c r="L38" s="12">
        <f>IF(J13&lt;4,0,(J13-3))</f>
        <v>2</v>
      </c>
      <c r="M38" s="11"/>
      <c r="N38" s="11"/>
    </row>
    <row r="39" spans="2:14" ht="22.05" customHeight="1">
      <c r="B39" s="4" t="s">
        <v>47</v>
      </c>
      <c r="C39" s="37">
        <f>C13*C18</f>
        <v>15000</v>
      </c>
      <c r="D39" s="38">
        <f t="shared" si="0"/>
        <v>3000</v>
      </c>
      <c r="E39" s="11"/>
      <c r="F39" s="11"/>
      <c r="G39" s="11"/>
      <c r="H39" s="11"/>
      <c r="I39" s="4" t="s">
        <v>47</v>
      </c>
      <c r="J39" s="37">
        <f>J13*J18</f>
        <v>25000</v>
      </c>
      <c r="K39" s="38">
        <f t="shared" si="1"/>
        <v>5000</v>
      </c>
      <c r="L39" s="11"/>
      <c r="M39" s="11"/>
      <c r="N39" s="11"/>
    </row>
    <row r="40" spans="2:14" ht="22.05" customHeight="1">
      <c r="B40" s="4" t="s">
        <v>48</v>
      </c>
      <c r="C40" s="37">
        <f>C13*C19</f>
        <v>50000</v>
      </c>
      <c r="D40" s="38">
        <f>C40/C13</f>
        <v>10000</v>
      </c>
      <c r="E40" s="11"/>
      <c r="F40" s="11"/>
      <c r="G40" s="11"/>
      <c r="H40" s="11"/>
      <c r="I40" s="4" t="s">
        <v>48</v>
      </c>
      <c r="J40" s="37">
        <f>J13*J19</f>
        <v>50000</v>
      </c>
      <c r="K40" s="38">
        <f t="shared" si="1"/>
        <v>10000</v>
      </c>
      <c r="L40" s="11"/>
      <c r="M40" s="11"/>
      <c r="N40" s="11"/>
    </row>
    <row r="41" spans="2:14" ht="21.6" thickBot="1">
      <c r="D41" s="5"/>
      <c r="K41" s="5"/>
    </row>
    <row r="42" spans="2:14" ht="29.4" thickTop="1">
      <c r="B42" s="14" t="s">
        <v>49</v>
      </c>
      <c r="C42" s="15">
        <f>SUM(C35:C40)</f>
        <v>541978.2160473601</v>
      </c>
      <c r="D42" s="15">
        <f>SUM(D35:D40)</f>
        <v>108395.64320947202</v>
      </c>
      <c r="E42" s="55">
        <f>QUOTIENT(D42,C14)</f>
        <v>24</v>
      </c>
      <c r="F42" s="55" t="s">
        <v>50</v>
      </c>
      <c r="G42" s="3"/>
      <c r="H42" s="3"/>
      <c r="I42" s="26" t="s">
        <v>49</v>
      </c>
      <c r="J42" s="27">
        <f>SUM(J35:J40)</f>
        <v>721417.29745000019</v>
      </c>
      <c r="K42" s="27">
        <f>SUM(K35:K40)</f>
        <v>144283.45949000004</v>
      </c>
      <c r="L42" s="55">
        <f>QUOTIENT(K42,J14)</f>
        <v>32</v>
      </c>
      <c r="M42" s="55" t="s">
        <v>50</v>
      </c>
    </row>
    <row r="44" spans="2:14" s="8" customFormat="1" ht="30" customHeight="1">
      <c r="B44" s="18" t="s">
        <v>51</v>
      </c>
      <c r="C44" s="28">
        <f>D44*C13</f>
        <v>2835</v>
      </c>
      <c r="D44" s="28">
        <f>C14*D21*C73+C14*D22*C71+C14*D23*C69+C14*D24*C70+C14*D25*C72</f>
        <v>567</v>
      </c>
      <c r="E44" s="19"/>
      <c r="F44" s="19"/>
      <c r="G44" s="19"/>
      <c r="H44" s="19"/>
      <c r="I44" s="18" t="s">
        <v>51</v>
      </c>
      <c r="J44" s="28">
        <f>K44*J13</f>
        <v>43569.900000000009</v>
      </c>
      <c r="K44" s="28">
        <f>J14*K21*C73+J14*K22*C71+J14*K23*C69+J14*K24*C70+J14*K25*C72</f>
        <v>8713.9800000000014</v>
      </c>
    </row>
    <row r="45" spans="2:14" s="8" customFormat="1" ht="30" customHeight="1">
      <c r="B45" s="18" t="s">
        <v>52</v>
      </c>
      <c r="C45" s="29">
        <f>C29*C44</f>
        <v>4252.5</v>
      </c>
      <c r="D45" s="29">
        <f>C29*D44</f>
        <v>850.5</v>
      </c>
      <c r="E45" s="19"/>
      <c r="F45" s="19"/>
      <c r="G45" s="19"/>
      <c r="H45" s="19"/>
      <c r="I45" s="18" t="s">
        <v>52</v>
      </c>
      <c r="J45" s="29">
        <f>J29*J44</f>
        <v>65354.850000000013</v>
      </c>
      <c r="K45" s="29">
        <f>J29*K44</f>
        <v>13070.970000000001</v>
      </c>
    </row>
    <row r="49" spans="2:13" s="13" customFormat="1" ht="18">
      <c r="C49" s="25" t="s">
        <v>19</v>
      </c>
      <c r="D49" s="25" t="s">
        <v>20</v>
      </c>
      <c r="E49" s="25" t="s">
        <v>21</v>
      </c>
      <c r="F49" s="25" t="s">
        <v>22</v>
      </c>
      <c r="J49" s="25" t="s">
        <v>19</v>
      </c>
      <c r="K49" s="25" t="s">
        <v>20</v>
      </c>
      <c r="L49" s="25" t="s">
        <v>21</v>
      </c>
      <c r="M49" s="25" t="s">
        <v>22</v>
      </c>
    </row>
    <row r="50" spans="2:13" ht="22.05" customHeight="1">
      <c r="B50" s="4" t="s">
        <v>53</v>
      </c>
      <c r="C50" s="37">
        <f>C53</f>
        <v>360</v>
      </c>
      <c r="D50" s="37">
        <f>IF(C20&gt;125,5350,(C20-75)*107)*(IF(C20&gt;75,1,0))+C53+IF(C20&lt;125,0,(C20-125)*132)</f>
        <v>360</v>
      </c>
      <c r="E50" s="37">
        <f>IF(C20&gt;125,5350,(C20-75)*107)*(IF(C20&gt;75,1,0))+C53+IF(C20&lt;125,0,(C20-125)*132)+C56+C57</f>
        <v>610</v>
      </c>
      <c r="F50" s="37">
        <f>IF(C20&gt;125,5350,(C20-75)*107)*(IF(C20&gt;75,1,0))+C53+IF(C20&lt;125,0,(C20-125)*132)</f>
        <v>360</v>
      </c>
      <c r="I50" s="4" t="s">
        <v>53</v>
      </c>
      <c r="J50" s="37">
        <f>J53</f>
        <v>360</v>
      </c>
      <c r="K50" s="37">
        <f>IF(J20&gt;125,5350,(J20-75)*107)*(IF(J20&gt;75,1,0))+J53+IF(J20&lt;125,0,(J20-125)*132)</f>
        <v>9010</v>
      </c>
      <c r="L50" s="37">
        <f>IF(J20&gt;125,5350,(J20-75)*107)*(IF(J20&gt;75,1,0))+J53+IF(J20&lt;125,0,(J20-125)*132)+J56+J57</f>
        <v>11288</v>
      </c>
      <c r="M50" s="37">
        <f>IF(J20&gt;125,5350,(J20-75)*107)*(IF(J20&gt;75,1,0))+J53+IF(J20&lt;125,0,(J20-125)*132)</f>
        <v>9010</v>
      </c>
    </row>
    <row r="51" spans="2:13" ht="22.05" customHeight="1">
      <c r="B51" s="4" t="s">
        <v>54</v>
      </c>
      <c r="C51" s="37">
        <f>C53</f>
        <v>360</v>
      </c>
      <c r="D51" s="37">
        <f>IF(C20&lt;111,0,(C20-111)*11)+C53</f>
        <v>360</v>
      </c>
      <c r="E51" s="37">
        <f>IF(C20&lt;111,0,(C20-111)*22)+C53+C56+C57</f>
        <v>610</v>
      </c>
      <c r="F51" s="37">
        <f>IF(C20&lt;111,0,(C20-111)*22)+C53</f>
        <v>360</v>
      </c>
      <c r="I51" s="4" t="s">
        <v>54</v>
      </c>
      <c r="J51" s="37">
        <f>J53</f>
        <v>360</v>
      </c>
      <c r="K51" s="37">
        <f>IF(J20&lt;111,0,(J20-111)*11)+J53</f>
        <v>789</v>
      </c>
      <c r="L51" s="37">
        <f>IF(J20&lt;111,0,(J20-111)*22)+J53+J56+J57</f>
        <v>3496</v>
      </c>
      <c r="M51" s="37">
        <f>IF(J20&lt;111,0,(J20-111)*22)+J53</f>
        <v>1218</v>
      </c>
    </row>
    <row r="52" spans="2:13" ht="22.05" customHeight="1"/>
    <row r="53" spans="2:13" ht="22.05" customHeight="1">
      <c r="B53" s="4" t="s">
        <v>55</v>
      </c>
      <c r="C53" s="39">
        <v>360</v>
      </c>
      <c r="I53" s="4" t="s">
        <v>55</v>
      </c>
      <c r="J53" s="39">
        <v>360</v>
      </c>
    </row>
    <row r="54" spans="2:13" ht="22.05" customHeight="1">
      <c r="B54" s="4" t="s">
        <v>103</v>
      </c>
      <c r="C54" s="39">
        <v>107</v>
      </c>
      <c r="I54" s="4" t="s">
        <v>103</v>
      </c>
      <c r="J54" s="39">
        <v>107</v>
      </c>
    </row>
    <row r="55" spans="2:13" ht="22.05" customHeight="1">
      <c r="B55" s="4" t="s">
        <v>104</v>
      </c>
      <c r="C55" s="39">
        <v>132</v>
      </c>
      <c r="I55" s="4" t="s">
        <v>104</v>
      </c>
      <c r="J55" s="39">
        <v>132</v>
      </c>
    </row>
    <row r="56" spans="2:13" ht="22.05" customHeight="1">
      <c r="B56" s="4" t="s">
        <v>56</v>
      </c>
      <c r="C56" s="39">
        <f>C20*13.52</f>
        <v>0</v>
      </c>
      <c r="I56" s="4" t="s">
        <v>56</v>
      </c>
      <c r="J56" s="39">
        <f>J20*13.52</f>
        <v>2028</v>
      </c>
    </row>
    <row r="57" spans="2:13" ht="22.05" customHeight="1">
      <c r="B57" s="4" t="s">
        <v>57</v>
      </c>
      <c r="C57" s="39">
        <v>250</v>
      </c>
      <c r="I57" s="4" t="s">
        <v>57</v>
      </c>
      <c r="J57" s="39">
        <v>250</v>
      </c>
    </row>
    <row r="58" spans="2:13" ht="22.05" customHeight="1">
      <c r="C58" s="39"/>
      <c r="J58" s="39"/>
    </row>
    <row r="59" spans="2:13" s="81" customFormat="1">
      <c r="F59" s="202" t="s">
        <v>86</v>
      </c>
    </row>
    <row r="60" spans="2:13" s="81" customFormat="1">
      <c r="F60" s="202"/>
    </row>
    <row r="61" spans="2:13" s="81" customFormat="1" ht="23.4">
      <c r="B61" s="121" t="s">
        <v>87</v>
      </c>
      <c r="C61" s="122"/>
      <c r="D61" s="122"/>
      <c r="E61" s="122"/>
      <c r="F61" s="203"/>
      <c r="G61" s="122"/>
      <c r="H61" s="122"/>
      <c r="I61" s="121" t="s">
        <v>87</v>
      </c>
      <c r="J61" s="122"/>
      <c r="K61" s="122"/>
      <c r="L61" s="122"/>
      <c r="M61" s="122"/>
    </row>
    <row r="62" spans="2:13" s="81" customFormat="1">
      <c r="C62" s="123" t="s">
        <v>88</v>
      </c>
      <c r="D62" s="123" t="s">
        <v>89</v>
      </c>
      <c r="E62" s="81" t="s">
        <v>90</v>
      </c>
      <c r="F62" s="203"/>
      <c r="J62" s="123" t="s">
        <v>88</v>
      </c>
      <c r="K62" s="123" t="s">
        <v>89</v>
      </c>
      <c r="L62" s="81" t="s">
        <v>90</v>
      </c>
      <c r="M62" s="81" t="s">
        <v>98</v>
      </c>
    </row>
    <row r="63" spans="2:13" s="81" customFormat="1" ht="22.05" customHeight="1">
      <c r="B63" s="81" t="s">
        <v>91</v>
      </c>
      <c r="C63" s="124">
        <v>1.7</v>
      </c>
      <c r="D63" s="124">
        <v>6</v>
      </c>
      <c r="E63" s="109">
        <f>C13</f>
        <v>5</v>
      </c>
      <c r="F63" s="136">
        <f>C63 * ((1 + D63 / 100) ^ E63 - 1) / (E63 * (D63 / 100))</f>
        <v>1.9166116064000027</v>
      </c>
      <c r="I63" s="81" t="s">
        <v>91</v>
      </c>
      <c r="J63" s="124">
        <v>1.7</v>
      </c>
      <c r="K63" s="124">
        <v>6</v>
      </c>
      <c r="L63" s="109">
        <f>J13</f>
        <v>5</v>
      </c>
      <c r="M63" s="136">
        <f>J63 * ((1 + K63 / 100) ^ L63 - 1) / (L63 * (K63 / 100))</f>
        <v>1.9166116064000027</v>
      </c>
    </row>
    <row r="64" spans="2:13" s="81" customFormat="1" ht="22.05" customHeight="1">
      <c r="B64" s="81" t="s">
        <v>58</v>
      </c>
      <c r="C64" s="124">
        <v>30</v>
      </c>
      <c r="D64" s="124">
        <v>5.5</v>
      </c>
      <c r="E64" s="109">
        <f>C13</f>
        <v>5</v>
      </c>
      <c r="F64" s="136">
        <f>C64 * ((1 + D64 / 100) ^ E64 - 1) / (E64 * (D64 / 100))</f>
        <v>33.48654615374997</v>
      </c>
      <c r="I64" s="81" t="s">
        <v>58</v>
      </c>
      <c r="J64" s="124">
        <v>30</v>
      </c>
      <c r="K64" s="124">
        <v>5.5</v>
      </c>
      <c r="L64" s="109">
        <f>J13</f>
        <v>5</v>
      </c>
      <c r="M64" s="136">
        <f>J64 * ((1 + K64 / 100) ^ L64 - 1) / (L64 * (K64 / 100))</f>
        <v>33.48654615374997</v>
      </c>
    </row>
    <row r="65" spans="2:16" s="81" customFormat="1" ht="22.05" customHeight="1">
      <c r="B65" s="81" t="s">
        <v>59</v>
      </c>
      <c r="C65" s="124">
        <v>18</v>
      </c>
      <c r="D65" s="124">
        <v>7</v>
      </c>
      <c r="E65" s="109">
        <f>C13</f>
        <v>5</v>
      </c>
      <c r="F65" s="136">
        <f>C65 * ((1 + D65 / 100) ^ E65 - 1) / (E65 * (D65 / 100))</f>
        <v>20.702660436000006</v>
      </c>
      <c r="I65" s="81" t="s">
        <v>59</v>
      </c>
      <c r="J65" s="124">
        <v>18</v>
      </c>
      <c r="K65" s="124">
        <v>7</v>
      </c>
      <c r="L65" s="109">
        <f>J13</f>
        <v>5</v>
      </c>
      <c r="M65" s="136">
        <f>J65 * ((1 + K65 / 100) ^ L65 - 1) / (L65 * (K65 / 100))</f>
        <v>20.702660436000006</v>
      </c>
    </row>
    <row r="66" spans="2:16" s="81" customFormat="1" ht="22.05" customHeight="1">
      <c r="B66" s="81" t="s">
        <v>60</v>
      </c>
      <c r="C66" s="124">
        <v>17</v>
      </c>
      <c r="D66" s="124">
        <v>5</v>
      </c>
      <c r="E66" s="109">
        <f>C13</f>
        <v>5</v>
      </c>
      <c r="F66" s="136">
        <f>C66 * ((1 + D66 / 100) ^ E66 - 1) / (E66 * (D66 / 100))</f>
        <v>18.78714625000001</v>
      </c>
      <c r="I66" s="81" t="s">
        <v>60</v>
      </c>
      <c r="J66" s="124">
        <v>17</v>
      </c>
      <c r="K66" s="124">
        <v>5</v>
      </c>
      <c r="L66" s="109">
        <f>J13</f>
        <v>5</v>
      </c>
      <c r="M66" s="136">
        <f>J66 * ((1 + K66 / 100) ^ L66 - 1) / (L66 * (K66 / 100))</f>
        <v>18.78714625000001</v>
      </c>
    </row>
    <row r="67" spans="2:16" s="81" customFormat="1" ht="22.05" customHeight="1">
      <c r="B67" s="81" t="s">
        <v>61</v>
      </c>
      <c r="C67" s="124">
        <v>21</v>
      </c>
      <c r="D67" s="124">
        <v>9</v>
      </c>
      <c r="E67" s="109">
        <f>C13</f>
        <v>5</v>
      </c>
      <c r="F67" s="136">
        <f>C67 * ((1 + D67 / 100) ^ E67 - 1) / (E67 * (D67 / 100))</f>
        <v>25.135784562000026</v>
      </c>
      <c r="I67" s="81" t="s">
        <v>61</v>
      </c>
      <c r="J67" s="124">
        <v>21</v>
      </c>
      <c r="K67" s="124">
        <v>9</v>
      </c>
      <c r="L67" s="109">
        <f>J13</f>
        <v>5</v>
      </c>
      <c r="M67" s="136">
        <f>J67 * ((1 + K67 / 100) ^ L67 - 1) / (L67 * (K67 / 100))</f>
        <v>25.135784562000026</v>
      </c>
    </row>
    <row r="68" spans="2:16" ht="22.05" customHeight="1"/>
    <row r="69" spans="2:16" ht="22.05" customHeight="1">
      <c r="B69" s="4" t="s">
        <v>62</v>
      </c>
      <c r="C69" s="39">
        <v>2.6989999999999998</v>
      </c>
    </row>
    <row r="70" spans="2:16" ht="22.05" customHeight="1">
      <c r="B70" s="4" t="s">
        <v>63</v>
      </c>
      <c r="C70" s="39">
        <v>2.9340000000000002</v>
      </c>
    </row>
    <row r="71" spans="2:16" ht="22.05" customHeight="1">
      <c r="B71" s="4" t="s">
        <v>64</v>
      </c>
      <c r="C71" s="39">
        <v>0.59099999999999997</v>
      </c>
    </row>
    <row r="72" spans="2:16" ht="22.05" customHeight="1">
      <c r="B72" s="4" t="s">
        <v>65</v>
      </c>
      <c r="C72" s="39">
        <v>0.44900000000000001</v>
      </c>
    </row>
    <row r="73" spans="2:16" ht="22.05" customHeight="1">
      <c r="B73" s="4" t="s">
        <v>66</v>
      </c>
      <c r="C73" s="39">
        <v>7.0000000000000007E-2</v>
      </c>
    </row>
    <row r="76" spans="2:16">
      <c r="B76" s="30"/>
      <c r="C76" s="30"/>
      <c r="D76" s="30"/>
      <c r="E76" s="30"/>
      <c r="F76" s="30"/>
      <c r="G76" s="30"/>
      <c r="H76" s="30"/>
      <c r="I76" s="30"/>
      <c r="J76" s="30"/>
      <c r="K76" s="30"/>
      <c r="L76" s="30"/>
      <c r="M76" s="30"/>
      <c r="N76" s="30"/>
      <c r="O76" s="30"/>
      <c r="P76" s="30"/>
    </row>
    <row r="77" spans="2:16">
      <c r="B77" s="4" t="s">
        <v>67</v>
      </c>
    </row>
    <row r="79" spans="2:16">
      <c r="B79" s="31" t="s">
        <v>1</v>
      </c>
      <c r="I79" s="31" t="s">
        <v>68</v>
      </c>
    </row>
    <row r="80" spans="2:16" ht="5.0999999999999996" customHeight="1"/>
    <row r="81" spans="2:11" ht="50.1" customHeight="1">
      <c r="B81" s="193" t="s">
        <v>2</v>
      </c>
      <c r="C81" s="193"/>
      <c r="D81" s="193"/>
      <c r="E81" s="193"/>
      <c r="I81" s="192" t="s">
        <v>70</v>
      </c>
      <c r="J81" s="192"/>
      <c r="K81" s="192"/>
    </row>
    <row r="83" spans="2:11">
      <c r="B83" s="31"/>
      <c r="I83" s="31" t="s">
        <v>72</v>
      </c>
    </row>
    <row r="84" spans="2:11" ht="5.0999999999999996" customHeight="1"/>
    <row r="85" spans="2:11" ht="50.1" customHeight="1">
      <c r="B85" s="193"/>
      <c r="C85" s="193"/>
      <c r="D85" s="193"/>
      <c r="E85" s="193"/>
      <c r="I85" s="193" t="s">
        <v>73</v>
      </c>
      <c r="J85" s="193"/>
      <c r="K85" s="193"/>
    </row>
    <row r="86" spans="2:11">
      <c r="I86" s="31"/>
    </row>
    <row r="87" spans="2:11">
      <c r="B87" s="31" t="s">
        <v>4</v>
      </c>
      <c r="I87" s="44" t="s">
        <v>74</v>
      </c>
    </row>
    <row r="88" spans="2:11" ht="4.05" customHeight="1"/>
    <row r="89" spans="2:11" ht="22.05" customHeight="1">
      <c r="B89" s="192" t="s">
        <v>5</v>
      </c>
      <c r="C89" s="192"/>
      <c r="D89" s="192"/>
      <c r="E89" s="192"/>
      <c r="I89" s="193" t="s">
        <v>75</v>
      </c>
      <c r="J89" s="193"/>
      <c r="K89" s="193"/>
    </row>
    <row r="90" spans="2:11">
      <c r="B90" s="192"/>
      <c r="C90" s="192"/>
      <c r="D90" s="192"/>
      <c r="E90" s="192"/>
      <c r="I90" s="193"/>
      <c r="J90" s="193"/>
      <c r="K90" s="193"/>
    </row>
    <row r="91" spans="2:11" ht="74.099999999999994" customHeight="1"/>
  </sheetData>
  <mergeCells count="14">
    <mergeCell ref="F59:F62"/>
    <mergeCell ref="C6:I6"/>
    <mergeCell ref="J6:K6"/>
    <mergeCell ref="C1:I4"/>
    <mergeCell ref="J3:K3"/>
    <mergeCell ref="J4:K4"/>
    <mergeCell ref="C5:I5"/>
    <mergeCell ref="J5:K5"/>
    <mergeCell ref="B81:E81"/>
    <mergeCell ref="I81:K81"/>
    <mergeCell ref="B85:E85"/>
    <mergeCell ref="I85:K85"/>
    <mergeCell ref="B89:E90"/>
    <mergeCell ref="I89:K90"/>
  </mergeCells>
  <dataValidations disablePrompts="1" count="2">
    <dataValidation type="list" allowBlank="1" showInputMessage="1" showErrorMessage="1" sqref="C15 J15" xr:uid="{229F163D-2E3A-4A1C-8777-4B3A5170B2DC}">
      <formula1>$D$15:$H$15</formula1>
    </dataValidation>
    <dataValidation type="list" allowBlank="1" showInputMessage="1" showErrorMessage="1" sqref="C26 J26" xr:uid="{2E841133-C913-424F-A5B6-A533DE2C2FD9}">
      <formula1>$D$26:$F$26</formula1>
    </dataValidation>
  </dataValidations>
  <hyperlinks>
    <hyperlink ref="C8" location="Info!A1" display="Till innehållsförteckning" xr:uid="{21DE1627-B906-4559-BF68-7C2B9288960D}"/>
  </hyperlinks>
  <pageMargins left="1" right="1" top="1" bottom="1" header="0.5" footer="0.5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574633-6314-4466-BA50-BA969EDD8EED}">
  <dimension ref="A1:P79"/>
  <sheetViews>
    <sheetView showGridLines="0" zoomScale="50" zoomScaleNormal="50" workbookViewId="0">
      <selection activeCell="B8" sqref="B8"/>
    </sheetView>
  </sheetViews>
  <sheetFormatPr defaultColWidth="8.77734375" defaultRowHeight="21"/>
  <cols>
    <col min="1" max="1" width="8.77734375" style="81"/>
    <col min="2" max="2" width="50.77734375" style="81" customWidth="1"/>
    <col min="3" max="4" width="25.77734375" style="81" customWidth="1"/>
    <col min="5" max="5" width="21.5546875" style="81" customWidth="1"/>
    <col min="6" max="6" width="28" style="81" customWidth="1"/>
    <col min="7" max="7" width="15.21875" style="81" customWidth="1"/>
    <col min="8" max="8" width="16.21875" style="81" customWidth="1"/>
    <col min="9" max="9" width="50.77734375" style="81" customWidth="1"/>
    <col min="10" max="13" width="25.77734375" style="81" customWidth="1"/>
    <col min="14" max="14" width="9" style="81" bestFit="1" customWidth="1"/>
    <col min="15" max="15" width="49.5546875" style="81" customWidth="1"/>
    <col min="16" max="16384" width="8.77734375" style="81"/>
  </cols>
  <sheetData>
    <row r="1" spans="1:15" s="71" customFormat="1" ht="24" customHeight="1">
      <c r="A1" s="67"/>
      <c r="B1" s="68"/>
      <c r="C1" s="69"/>
      <c r="D1" s="208" t="s">
        <v>92</v>
      </c>
      <c r="E1" s="209"/>
      <c r="F1" s="209"/>
      <c r="G1" s="209"/>
      <c r="H1" s="209"/>
      <c r="I1" s="209"/>
      <c r="J1" s="70"/>
      <c r="K1" s="70"/>
      <c r="L1" s="70"/>
      <c r="M1" s="70"/>
      <c r="N1" s="70"/>
      <c r="O1" s="70"/>
    </row>
    <row r="2" spans="1:15" s="71" customFormat="1" ht="30" customHeight="1">
      <c r="A2" s="67"/>
      <c r="B2" s="68"/>
      <c r="C2" s="69"/>
      <c r="D2" s="209"/>
      <c r="E2" s="209"/>
      <c r="F2" s="209"/>
      <c r="G2" s="209"/>
      <c r="H2" s="209"/>
      <c r="I2" s="209"/>
      <c r="J2" s="72" t="s">
        <v>93</v>
      </c>
      <c r="K2" s="70"/>
      <c r="L2" s="70"/>
      <c r="M2" s="70"/>
      <c r="N2" s="70"/>
      <c r="O2" s="70"/>
    </row>
    <row r="3" spans="1:15" s="71" customFormat="1" ht="27" customHeight="1">
      <c r="A3" s="67"/>
      <c r="B3" s="68"/>
      <c r="C3" s="69"/>
      <c r="D3" s="209"/>
      <c r="E3" s="209"/>
      <c r="F3" s="209"/>
      <c r="G3" s="209"/>
      <c r="H3" s="209"/>
      <c r="I3" s="209"/>
      <c r="J3" s="210" t="s">
        <v>7</v>
      </c>
      <c r="K3" s="210"/>
      <c r="L3" s="70"/>
      <c r="M3" s="70"/>
      <c r="N3" s="70"/>
      <c r="O3" s="70"/>
    </row>
    <row r="4" spans="1:15" s="71" customFormat="1" ht="28.05" customHeight="1">
      <c r="A4" s="67"/>
      <c r="B4" s="68"/>
      <c r="C4" s="69"/>
      <c r="D4" s="209"/>
      <c r="E4" s="209"/>
      <c r="F4" s="209"/>
      <c r="G4" s="209"/>
      <c r="H4" s="209"/>
      <c r="I4" s="209"/>
      <c r="J4" s="211" t="s">
        <v>8</v>
      </c>
      <c r="K4" s="211"/>
      <c r="L4" s="70"/>
      <c r="M4" s="70"/>
      <c r="N4" s="70"/>
      <c r="O4" s="70"/>
    </row>
    <row r="5" spans="1:15" s="71" customFormat="1" ht="33" customHeight="1">
      <c r="A5" s="67"/>
      <c r="B5" s="68"/>
      <c r="C5" s="73"/>
      <c r="D5" s="180" t="s">
        <v>131</v>
      </c>
      <c r="E5" s="74"/>
      <c r="F5" s="74"/>
      <c r="G5" s="74"/>
      <c r="H5" s="74"/>
      <c r="I5" s="74"/>
      <c r="J5" s="212" t="s">
        <v>9</v>
      </c>
      <c r="K5" s="212"/>
      <c r="L5" s="70"/>
      <c r="M5" s="70"/>
      <c r="N5" s="70"/>
      <c r="O5" s="70"/>
    </row>
    <row r="6" spans="1:15" s="71" customFormat="1" ht="33" customHeight="1">
      <c r="A6" s="67"/>
      <c r="B6" s="68"/>
      <c r="C6" s="75"/>
      <c r="D6" s="180" t="s">
        <v>132</v>
      </c>
      <c r="E6" s="76"/>
      <c r="F6" s="76"/>
      <c r="G6" s="76"/>
      <c r="H6" s="76"/>
      <c r="I6" s="76"/>
      <c r="J6" s="213" t="s">
        <v>11</v>
      </c>
      <c r="K6" s="213"/>
      <c r="L6" s="70"/>
      <c r="M6" s="70"/>
      <c r="N6" s="70"/>
      <c r="O6" s="70"/>
    </row>
    <row r="7" spans="1:15" s="80" customFormat="1" ht="24" customHeight="1">
      <c r="A7" s="77"/>
      <c r="B7" s="78"/>
      <c r="C7" s="73"/>
      <c r="D7" s="74"/>
      <c r="E7" s="74"/>
      <c r="F7" s="74"/>
      <c r="G7" s="79"/>
      <c r="H7" s="79"/>
      <c r="I7" s="79"/>
      <c r="J7" s="79"/>
      <c r="K7" s="79"/>
      <c r="L7" s="79"/>
      <c r="M7" s="79"/>
      <c r="N7" s="79"/>
      <c r="O7" s="79"/>
    </row>
    <row r="8" spans="1:15" ht="22.05" customHeight="1">
      <c r="D8" s="178" t="s">
        <v>126</v>
      </c>
    </row>
    <row r="9" spans="1:15" s="82" customFormat="1" ht="33.6">
      <c r="B9" s="83" t="s">
        <v>12</v>
      </c>
      <c r="I9" s="83" t="s">
        <v>13</v>
      </c>
    </row>
    <row r="10" spans="1:15">
      <c r="D10" s="84"/>
    </row>
    <row r="11" spans="1:15">
      <c r="B11" s="81" t="s">
        <v>14</v>
      </c>
      <c r="C11" s="85" t="s">
        <v>101</v>
      </c>
      <c r="I11" s="81" t="s">
        <v>14</v>
      </c>
      <c r="J11" s="85" t="s">
        <v>102</v>
      </c>
    </row>
    <row r="12" spans="1:15" ht="22.05" customHeight="1">
      <c r="B12" s="86" t="s">
        <v>83</v>
      </c>
      <c r="C12" s="87">
        <v>5200000</v>
      </c>
      <c r="D12" s="88"/>
      <c r="E12" s="89"/>
      <c r="F12" s="89"/>
      <c r="G12" s="89"/>
      <c r="H12" s="89"/>
      <c r="I12" s="86" t="s">
        <v>83</v>
      </c>
      <c r="J12" s="90">
        <v>3300000</v>
      </c>
      <c r="K12" s="91"/>
      <c r="L12" s="89"/>
      <c r="M12" s="89"/>
      <c r="N12" s="89"/>
      <c r="O12" s="92"/>
    </row>
    <row r="13" spans="1:15" ht="22.05" customHeight="1">
      <c r="B13" s="86" t="s">
        <v>16</v>
      </c>
      <c r="C13" s="93">
        <v>8</v>
      </c>
      <c r="D13" s="94"/>
      <c r="E13" s="89"/>
      <c r="F13" s="89"/>
      <c r="G13" s="89"/>
      <c r="H13" s="89"/>
      <c r="I13" s="81" t="s">
        <v>16</v>
      </c>
      <c r="J13" s="95">
        <v>8</v>
      </c>
      <c r="K13" s="91"/>
      <c r="L13" s="89"/>
      <c r="M13" s="89"/>
      <c r="N13" s="89"/>
      <c r="O13" s="92"/>
    </row>
    <row r="14" spans="1:15" ht="22.05" customHeight="1">
      <c r="B14" s="86" t="s">
        <v>17</v>
      </c>
      <c r="C14" s="87">
        <v>2000</v>
      </c>
      <c r="D14" s="91"/>
      <c r="E14" s="89"/>
      <c r="F14" s="89"/>
      <c r="G14" s="89"/>
      <c r="H14" s="89"/>
      <c r="I14" s="81" t="s">
        <v>17</v>
      </c>
      <c r="J14" s="95">
        <v>2000</v>
      </c>
      <c r="K14" s="91"/>
      <c r="L14" s="89"/>
      <c r="M14" s="89"/>
      <c r="N14" s="89"/>
      <c r="O14" s="96"/>
    </row>
    <row r="15" spans="1:15" ht="22.05" customHeight="1">
      <c r="B15" s="86" t="s">
        <v>18</v>
      </c>
      <c r="C15" s="97" t="s">
        <v>19</v>
      </c>
      <c r="D15" s="91" t="s">
        <v>19</v>
      </c>
      <c r="E15" s="98" t="s">
        <v>20</v>
      </c>
      <c r="F15" s="98" t="s">
        <v>21</v>
      </c>
      <c r="G15" s="98" t="s">
        <v>22</v>
      </c>
      <c r="H15" s="98" t="s">
        <v>23</v>
      </c>
      <c r="I15" s="81" t="s">
        <v>18</v>
      </c>
      <c r="J15" s="99" t="s">
        <v>23</v>
      </c>
      <c r="K15" s="91" t="s">
        <v>19</v>
      </c>
      <c r="L15" s="98" t="s">
        <v>20</v>
      </c>
      <c r="M15" s="98" t="s">
        <v>21</v>
      </c>
      <c r="N15" s="98" t="s">
        <v>22</v>
      </c>
      <c r="O15" s="92"/>
    </row>
    <row r="16" spans="1:15" ht="22.05" customHeight="1">
      <c r="B16" s="86" t="s">
        <v>24</v>
      </c>
      <c r="C16" s="87">
        <v>90</v>
      </c>
      <c r="D16" s="91"/>
      <c r="E16" s="89"/>
      <c r="F16" s="89"/>
      <c r="G16" s="89"/>
      <c r="H16" s="89"/>
      <c r="I16" s="81" t="s">
        <v>24</v>
      </c>
      <c r="J16" s="95">
        <v>90</v>
      </c>
      <c r="K16" s="91"/>
      <c r="L16" s="89"/>
      <c r="M16" s="89"/>
      <c r="N16" s="89"/>
    </row>
    <row r="17" spans="2:14" ht="22.05" customHeight="1">
      <c r="B17" s="86" t="s">
        <v>25</v>
      </c>
      <c r="C17" s="87">
        <v>4</v>
      </c>
      <c r="D17" s="91"/>
      <c r="E17" s="89"/>
      <c r="F17" s="89"/>
      <c r="G17" s="89"/>
      <c r="H17" s="89"/>
      <c r="I17" s="81" t="s">
        <v>25</v>
      </c>
      <c r="J17" s="95">
        <v>4</v>
      </c>
      <c r="K17" s="91"/>
      <c r="L17" s="89"/>
      <c r="M17" s="89"/>
      <c r="N17" s="89"/>
    </row>
    <row r="18" spans="2:14" ht="22.05" customHeight="1">
      <c r="B18" s="86" t="s">
        <v>26</v>
      </c>
      <c r="C18" s="87">
        <v>30000</v>
      </c>
      <c r="D18" s="91"/>
      <c r="E18" s="89"/>
      <c r="F18" s="89"/>
      <c r="G18" s="89"/>
      <c r="H18" s="89"/>
      <c r="I18" s="81" t="s">
        <v>26</v>
      </c>
      <c r="J18" s="95">
        <v>30000</v>
      </c>
      <c r="K18" s="91"/>
      <c r="L18" s="89"/>
      <c r="M18" s="89"/>
      <c r="N18" s="89"/>
    </row>
    <row r="19" spans="2:14" ht="22.05" customHeight="1">
      <c r="B19" s="86" t="s">
        <v>27</v>
      </c>
      <c r="C19" s="87">
        <v>150000</v>
      </c>
      <c r="D19" s="91"/>
      <c r="E19" s="89"/>
      <c r="F19" s="89"/>
      <c r="G19" s="89"/>
      <c r="H19" s="89"/>
      <c r="I19" s="81" t="s">
        <v>27</v>
      </c>
      <c r="J19" s="95">
        <v>150000</v>
      </c>
      <c r="K19" s="91"/>
      <c r="L19" s="89"/>
      <c r="M19" s="89"/>
      <c r="N19" s="89"/>
    </row>
    <row r="20" spans="2:14" ht="22.05" customHeight="1">
      <c r="B20" s="86" t="s">
        <v>28</v>
      </c>
      <c r="C20" s="87">
        <v>0</v>
      </c>
      <c r="D20" s="91"/>
      <c r="E20" s="89"/>
      <c r="F20" s="89"/>
      <c r="G20" s="89"/>
      <c r="H20" s="89"/>
      <c r="I20" s="81" t="s">
        <v>28</v>
      </c>
      <c r="J20" s="95"/>
      <c r="K20" s="91"/>
      <c r="L20" s="89"/>
      <c r="M20" s="89"/>
      <c r="N20" s="89"/>
    </row>
    <row r="21" spans="2:14" ht="22.05" customHeight="1">
      <c r="B21" s="86" t="s">
        <v>29</v>
      </c>
      <c r="C21" s="87">
        <v>20</v>
      </c>
      <c r="D21" s="91">
        <f>IF($C$15="El",C21,0)</f>
        <v>20</v>
      </c>
      <c r="E21" s="89"/>
      <c r="F21" s="89"/>
      <c r="G21" s="89"/>
      <c r="H21" s="89"/>
      <c r="I21" s="81" t="s">
        <v>29</v>
      </c>
      <c r="J21" s="95">
        <v>0</v>
      </c>
      <c r="K21" s="91">
        <f>IF($J$15="El",J21,0)</f>
        <v>0</v>
      </c>
      <c r="L21" s="89"/>
      <c r="M21" s="89"/>
      <c r="N21" s="89"/>
    </row>
    <row r="22" spans="2:14" ht="22.05" customHeight="1">
      <c r="B22" s="86" t="s">
        <v>30</v>
      </c>
      <c r="C22" s="87">
        <v>0</v>
      </c>
      <c r="D22" s="91">
        <f>IF($C$15="Gas",C22,0)</f>
        <v>0</v>
      </c>
      <c r="E22" s="89"/>
      <c r="F22" s="89"/>
      <c r="G22" s="89"/>
      <c r="H22" s="89"/>
      <c r="I22" s="81" t="s">
        <v>30</v>
      </c>
      <c r="J22" s="95">
        <v>0</v>
      </c>
      <c r="K22" s="91">
        <f>IF($J$15="Gas",J22,0)</f>
        <v>0</v>
      </c>
      <c r="L22" s="89"/>
      <c r="M22" s="89"/>
      <c r="N22" s="89"/>
    </row>
    <row r="23" spans="2:14" ht="22.05" customHeight="1">
      <c r="B23" s="86" t="s">
        <v>31</v>
      </c>
      <c r="C23" s="87">
        <v>0</v>
      </c>
      <c r="D23" s="91">
        <f>IF($C$15="Diesel",C23,0)</f>
        <v>0</v>
      </c>
      <c r="E23" s="89"/>
      <c r="F23" s="89"/>
      <c r="G23" s="89"/>
      <c r="H23" s="89"/>
      <c r="I23" s="81" t="s">
        <v>31</v>
      </c>
      <c r="J23" s="95">
        <v>0</v>
      </c>
      <c r="K23" s="91">
        <f>IF($J$15="Diesel",J23,0)</f>
        <v>0</v>
      </c>
      <c r="L23" s="89"/>
      <c r="M23" s="89"/>
      <c r="N23" s="89"/>
    </row>
    <row r="24" spans="2:14" ht="22.05" customHeight="1">
      <c r="B24" s="86" t="s">
        <v>32</v>
      </c>
      <c r="C24" s="87">
        <v>0</v>
      </c>
      <c r="D24" s="91">
        <f>IF($C$15="Bensin",C24,0)+IF($C$15="Gas",C24,0)</f>
        <v>0</v>
      </c>
      <c r="E24" s="89"/>
      <c r="F24" s="89"/>
      <c r="G24" s="89"/>
      <c r="H24" s="89"/>
      <c r="I24" s="81" t="s">
        <v>32</v>
      </c>
      <c r="J24" s="95">
        <v>0</v>
      </c>
      <c r="K24" s="91">
        <f>IF($J$15="Bensin",J24,0)+IF($J$15="Gas",J24,0)</f>
        <v>0</v>
      </c>
      <c r="L24" s="89"/>
      <c r="M24" s="89"/>
      <c r="N24" s="89"/>
    </row>
    <row r="25" spans="2:14" ht="22.05" customHeight="1">
      <c r="B25" s="86" t="s">
        <v>33</v>
      </c>
      <c r="C25" s="87">
        <v>0</v>
      </c>
      <c r="D25" s="91">
        <f>IF($C$15="HVO100",C25,0)</f>
        <v>0</v>
      </c>
      <c r="E25" s="89"/>
      <c r="F25" s="89"/>
      <c r="G25" s="89"/>
      <c r="H25" s="89"/>
      <c r="I25" s="81" t="s">
        <v>33</v>
      </c>
      <c r="J25" s="95">
        <v>5.5</v>
      </c>
      <c r="K25" s="91">
        <f>IF($J$15="HVO100",J25,0)</f>
        <v>5.5</v>
      </c>
      <c r="L25" s="89"/>
      <c r="M25" s="89"/>
      <c r="N25" s="89"/>
    </row>
    <row r="26" spans="2:14" ht="22.05" customHeight="1">
      <c r="B26" s="86" t="s">
        <v>34</v>
      </c>
      <c r="C26" s="100" t="s">
        <v>35</v>
      </c>
      <c r="D26" s="101" t="s">
        <v>94</v>
      </c>
      <c r="E26" s="98" t="s">
        <v>37</v>
      </c>
      <c r="F26" s="98" t="s">
        <v>35</v>
      </c>
      <c r="G26" s="98">
        <f>IF(C26="Fullt",0.8,IF(C26="Halvt",0.8888,1))</f>
        <v>1</v>
      </c>
      <c r="H26" s="89"/>
      <c r="I26" s="81" t="s">
        <v>34</v>
      </c>
      <c r="J26" s="102" t="s">
        <v>35</v>
      </c>
      <c r="K26" s="101" t="s">
        <v>94</v>
      </c>
      <c r="L26" s="98" t="s">
        <v>37</v>
      </c>
      <c r="M26" s="98" t="s">
        <v>35</v>
      </c>
      <c r="N26" s="98">
        <f>IF(J26="Fullt",0.8,IF(J26="Halvt",0.8888,1))</f>
        <v>1</v>
      </c>
    </row>
    <row r="27" spans="2:14" ht="22.05" customHeight="1">
      <c r="B27" s="86" t="s">
        <v>95</v>
      </c>
      <c r="C27" s="87">
        <v>11</v>
      </c>
      <c r="D27" s="103" t="s">
        <v>96</v>
      </c>
      <c r="E27" s="98"/>
      <c r="F27" s="98"/>
      <c r="G27" s="98"/>
      <c r="H27" s="89"/>
      <c r="I27" s="86" t="s">
        <v>95</v>
      </c>
      <c r="J27" s="95">
        <v>0</v>
      </c>
      <c r="K27" s="91"/>
      <c r="L27" s="98"/>
      <c r="M27" s="98"/>
      <c r="N27" s="98"/>
    </row>
    <row r="28" spans="2:14" ht="22.05" customHeight="1">
      <c r="B28" s="86" t="s">
        <v>39</v>
      </c>
      <c r="C28" s="87"/>
      <c r="D28" s="91"/>
      <c r="E28" s="89"/>
      <c r="F28" s="89"/>
      <c r="G28" s="89"/>
      <c r="H28" s="89"/>
      <c r="I28" s="81" t="s">
        <v>39</v>
      </c>
      <c r="J28" s="95"/>
      <c r="K28" s="91"/>
      <c r="L28" s="89"/>
      <c r="M28" s="89"/>
      <c r="N28" s="89"/>
    </row>
    <row r="29" spans="2:14" ht="22.05" customHeight="1">
      <c r="B29" s="86" t="s">
        <v>40</v>
      </c>
      <c r="C29" s="87">
        <v>1.5</v>
      </c>
      <c r="D29" s="91"/>
      <c r="E29" s="89"/>
      <c r="F29" s="89"/>
      <c r="G29" s="89"/>
      <c r="H29" s="89"/>
      <c r="I29" s="81" t="s">
        <v>40</v>
      </c>
      <c r="J29" s="95">
        <v>1.5</v>
      </c>
      <c r="K29" s="91"/>
      <c r="L29" s="89"/>
      <c r="M29" s="89"/>
      <c r="N29" s="89"/>
    </row>
    <row r="30" spans="2:14" ht="22.05" customHeight="1">
      <c r="D30" s="104"/>
      <c r="K30" s="98"/>
      <c r="L30" s="89"/>
      <c r="M30" s="89"/>
      <c r="N30" s="89"/>
    </row>
    <row r="33" spans="2:14" s="105" customFormat="1">
      <c r="C33" s="106" t="s">
        <v>41</v>
      </c>
      <c r="D33" s="106" t="s">
        <v>42</v>
      </c>
      <c r="E33" s="106"/>
      <c r="F33" s="106"/>
      <c r="G33" s="106"/>
      <c r="H33" s="106"/>
      <c r="I33" s="106"/>
      <c r="J33" s="106" t="s">
        <v>41</v>
      </c>
      <c r="K33" s="106" t="s">
        <v>42</v>
      </c>
    </row>
    <row r="34" spans="2:14" ht="5.0999999999999996" customHeight="1"/>
    <row r="35" spans="2:14" ht="22.05" customHeight="1">
      <c r="B35" s="81" t="s">
        <v>43</v>
      </c>
      <c r="C35" s="107">
        <f>(((G26*(C12-C30-((C27/100)*C12)))*(1-(C16/200))*(C17/100)))*C13</f>
        <v>814528</v>
      </c>
      <c r="D35" s="108">
        <f>C35/$C$13</f>
        <v>101816</v>
      </c>
      <c r="E35" s="89"/>
      <c r="F35" s="89"/>
      <c r="G35" s="89"/>
      <c r="H35" s="89"/>
      <c r="I35" s="81" t="s">
        <v>43</v>
      </c>
      <c r="J35" s="107">
        <f>(((N26*(J12-J30-((J27/100)*J12)))*(1-(J16/200))*(J17/100)))*J13</f>
        <v>580800.00000000012</v>
      </c>
      <c r="K35" s="108">
        <f>J35/$C$13</f>
        <v>72600.000000000015</v>
      </c>
      <c r="L35" s="89"/>
      <c r="M35" s="89"/>
      <c r="N35" s="89"/>
    </row>
    <row r="36" spans="2:14" ht="22.05" customHeight="1">
      <c r="B36" s="81" t="s">
        <v>44</v>
      </c>
      <c r="C36" s="107">
        <f>(G26*(C12-((C27/100)*C12)))*(C16/100)</f>
        <v>4165200</v>
      </c>
      <c r="D36" s="108">
        <f t="shared" ref="D36:D39" si="0">C36/$C$13</f>
        <v>520650</v>
      </c>
      <c r="E36" s="89"/>
      <c r="F36" s="89"/>
      <c r="G36" s="89"/>
      <c r="H36" s="89"/>
      <c r="I36" s="81" t="s">
        <v>44</v>
      </c>
      <c r="J36" s="107">
        <f>(N26*(J12-((J27/100)*J12)))*(J16/100)</f>
        <v>2970000</v>
      </c>
      <c r="K36" s="108">
        <f t="shared" ref="K36:K40" si="1">J36/$J$13</f>
        <v>371250</v>
      </c>
      <c r="L36" s="89"/>
      <c r="M36" s="89"/>
      <c r="N36" s="89"/>
    </row>
    <row r="37" spans="2:14" ht="22.05" customHeight="1">
      <c r="B37" s="81" t="s">
        <v>45</v>
      </c>
      <c r="C37" s="107">
        <f>C13*C14*D21*(0.8*F50)+C13*C14*D22*(0.8*F51)+C13*C14*D23*(F52*0.8)+C13*C14*D24*(F53*0.8)+C13*C14*D25*(F54*0.8)</f>
        <v>538422.25424129702</v>
      </c>
      <c r="D37" s="108">
        <f t="shared" si="0"/>
        <v>67302.781780162128</v>
      </c>
      <c r="E37" s="89"/>
      <c r="F37" s="89"/>
      <c r="G37" s="89"/>
      <c r="H37" s="89"/>
      <c r="I37" s="81" t="s">
        <v>45</v>
      </c>
      <c r="J37" s="107">
        <f>J13*J14*K21*(0.8*M50)+J13*J14*K22*(0.8*M51)+J13*J14*K23*(M52*0.8)+J13*J14*K24*(M53*0.8)+J13*J14*K25*(M54*0.8)</f>
        <v>2038061.957603863</v>
      </c>
      <c r="K37" s="108">
        <f t="shared" si="1"/>
        <v>254757.74470048287</v>
      </c>
      <c r="L37" s="89"/>
      <c r="M37" s="89"/>
      <c r="N37" s="89"/>
    </row>
    <row r="38" spans="2:14" ht="22.05" customHeight="1">
      <c r="B38" s="81" t="s">
        <v>97</v>
      </c>
      <c r="C38" s="107">
        <v>140000</v>
      </c>
      <c r="D38" s="108">
        <f t="shared" si="0"/>
        <v>17500</v>
      </c>
      <c r="E38" s="98">
        <f>IF(C13&lt;4,0,(C13-3))</f>
        <v>5</v>
      </c>
      <c r="F38" s="89"/>
      <c r="G38" s="89"/>
      <c r="H38" s="89"/>
      <c r="I38" s="81" t="s">
        <v>97</v>
      </c>
      <c r="J38" s="109">
        <v>140000</v>
      </c>
      <c r="K38" s="108">
        <f t="shared" si="1"/>
        <v>17500</v>
      </c>
      <c r="L38" s="98">
        <f>IF(J13&lt;4,0,(J13-3))</f>
        <v>5</v>
      </c>
      <c r="M38" s="89"/>
      <c r="N38" s="89"/>
    </row>
    <row r="39" spans="2:14" ht="22.05" customHeight="1">
      <c r="B39" s="81" t="s">
        <v>47</v>
      </c>
      <c r="C39" s="107">
        <f>C13*C18</f>
        <v>240000</v>
      </c>
      <c r="D39" s="108">
        <f t="shared" si="0"/>
        <v>30000</v>
      </c>
      <c r="E39" s="89"/>
      <c r="F39" s="89"/>
      <c r="G39" s="89"/>
      <c r="H39" s="89"/>
      <c r="I39" s="81" t="s">
        <v>47</v>
      </c>
      <c r="J39" s="109">
        <f>J13*J18</f>
        <v>240000</v>
      </c>
      <c r="K39" s="108">
        <f t="shared" si="1"/>
        <v>30000</v>
      </c>
      <c r="L39" s="89"/>
      <c r="M39" s="89"/>
      <c r="N39" s="89"/>
    </row>
    <row r="40" spans="2:14" ht="22.05" customHeight="1">
      <c r="B40" s="81" t="s">
        <v>48</v>
      </c>
      <c r="C40" s="107">
        <f>C13*C19</f>
        <v>1200000</v>
      </c>
      <c r="D40" s="108">
        <f>C40/C13</f>
        <v>150000</v>
      </c>
      <c r="E40" s="89"/>
      <c r="F40" s="89"/>
      <c r="G40" s="89"/>
      <c r="H40" s="89"/>
      <c r="I40" s="81" t="s">
        <v>48</v>
      </c>
      <c r="J40" s="109">
        <f>J13*J19</f>
        <v>1200000</v>
      </c>
      <c r="K40" s="108">
        <f t="shared" si="1"/>
        <v>150000</v>
      </c>
      <c r="L40" s="89"/>
      <c r="M40" s="89"/>
      <c r="N40" s="89"/>
    </row>
    <row r="41" spans="2:14" ht="21.6" thickBot="1">
      <c r="D41" s="110"/>
      <c r="K41" s="110"/>
    </row>
    <row r="42" spans="2:14" ht="29.4" thickTop="1">
      <c r="B42" s="111" t="s">
        <v>49</v>
      </c>
      <c r="C42" s="112">
        <f>SUM(C35:C40)</f>
        <v>7098150.254241297</v>
      </c>
      <c r="D42" s="112">
        <f>SUM(D35:D40)</f>
        <v>887268.78178016213</v>
      </c>
      <c r="E42" s="55">
        <f>QUOTIENT(D42,C14)</f>
        <v>443</v>
      </c>
      <c r="F42" s="55" t="s">
        <v>50</v>
      </c>
      <c r="G42" s="113"/>
      <c r="H42" s="113"/>
      <c r="I42" s="114" t="s">
        <v>49</v>
      </c>
      <c r="J42" s="115">
        <f>SUM(J35:J40)</f>
        <v>7168861.9576038625</v>
      </c>
      <c r="K42" s="115">
        <f>SUM(K35:K40)</f>
        <v>896107.74470048281</v>
      </c>
      <c r="L42" s="55">
        <f>QUOTIENT(K42,J14)</f>
        <v>448</v>
      </c>
      <c r="M42" s="55" t="s">
        <v>50</v>
      </c>
    </row>
    <row r="44" spans="2:14" s="119" customFormat="1" ht="30" customHeight="1">
      <c r="B44" s="116" t="s">
        <v>51</v>
      </c>
      <c r="C44" s="117">
        <f>D44*C13</f>
        <v>22400.000000000004</v>
      </c>
      <c r="D44" s="117">
        <f>C14*D21*C60+C14*D22*C58+C14*D23*C56+C14*D24*C57+C14*D25*C59</f>
        <v>2800.0000000000005</v>
      </c>
      <c r="E44" s="118"/>
      <c r="F44" s="118"/>
      <c r="G44" s="118"/>
      <c r="H44" s="118"/>
      <c r="I44" s="116" t="s">
        <v>51</v>
      </c>
      <c r="J44" s="117">
        <f>K44*J13</f>
        <v>39512</v>
      </c>
      <c r="K44" s="117">
        <f>J14*K21*C60+J14*K22*C58+J14*K23*C56+J14*K24*C57+J14*K25*C59</f>
        <v>4939</v>
      </c>
    </row>
    <row r="45" spans="2:14" s="119" customFormat="1" ht="30" customHeight="1">
      <c r="B45" s="116" t="s">
        <v>52</v>
      </c>
      <c r="C45" s="120">
        <f>C29*C44</f>
        <v>33600.000000000007</v>
      </c>
      <c r="D45" s="120">
        <f>C29*D44</f>
        <v>4200.0000000000009</v>
      </c>
      <c r="E45" s="118"/>
      <c r="F45" s="118"/>
      <c r="G45" s="118"/>
      <c r="H45" s="118"/>
      <c r="I45" s="116" t="s">
        <v>52</v>
      </c>
      <c r="J45" s="120">
        <f>J29*J44</f>
        <v>59268</v>
      </c>
      <c r="K45" s="120">
        <f>J29*K44</f>
        <v>7408.5</v>
      </c>
    </row>
    <row r="46" spans="2:14">
      <c r="F46" s="202" t="s">
        <v>86</v>
      </c>
    </row>
    <row r="47" spans="2:14">
      <c r="F47" s="202"/>
    </row>
    <row r="48" spans="2:14" ht="23.4">
      <c r="B48" s="121" t="s">
        <v>87</v>
      </c>
      <c r="C48" s="122"/>
      <c r="D48" s="122"/>
      <c r="E48" s="122"/>
      <c r="F48" s="203"/>
      <c r="G48" s="122"/>
      <c r="H48" s="122"/>
      <c r="I48" s="121" t="s">
        <v>87</v>
      </c>
      <c r="J48" s="122"/>
      <c r="K48" s="122"/>
      <c r="L48" s="122"/>
      <c r="M48" s="122"/>
    </row>
    <row r="49" spans="2:16">
      <c r="C49" s="123" t="s">
        <v>88</v>
      </c>
      <c r="D49" s="123" t="s">
        <v>89</v>
      </c>
      <c r="E49" s="81" t="s">
        <v>90</v>
      </c>
      <c r="F49" s="203"/>
      <c r="J49" s="123" t="s">
        <v>88</v>
      </c>
      <c r="K49" s="123" t="s">
        <v>89</v>
      </c>
      <c r="L49" s="81" t="s">
        <v>90</v>
      </c>
      <c r="M49" s="81" t="s">
        <v>98</v>
      </c>
    </row>
    <row r="50" spans="2:16" ht="22.05" customHeight="1">
      <c r="B50" s="81" t="s">
        <v>91</v>
      </c>
      <c r="C50" s="124">
        <v>1.7</v>
      </c>
      <c r="D50" s="124">
        <v>6</v>
      </c>
      <c r="E50" s="109">
        <f>C13</f>
        <v>8</v>
      </c>
      <c r="F50" s="136">
        <f>C50 * ((1 + D50 / 100) ^ E50 - 1) / (E50 * (D50 / 100))</f>
        <v>2.1032119306300663</v>
      </c>
      <c r="I50" s="81" t="s">
        <v>91</v>
      </c>
      <c r="J50" s="124">
        <v>1.7</v>
      </c>
      <c r="K50" s="124">
        <v>6</v>
      </c>
      <c r="L50" s="109">
        <f>J13</f>
        <v>8</v>
      </c>
      <c r="M50" s="136">
        <f>J50 * ((1 + K50 / 100) ^ L50 - 1) / (L50 * (K50 / 100))</f>
        <v>2.1032119306300663</v>
      </c>
    </row>
    <row r="51" spans="2:16" ht="22.05" customHeight="1">
      <c r="B51" s="81" t="s">
        <v>58</v>
      </c>
      <c r="C51" s="124">
        <v>30</v>
      </c>
      <c r="D51" s="124">
        <v>5.5</v>
      </c>
      <c r="E51" s="109">
        <f>C13</f>
        <v>8</v>
      </c>
      <c r="F51" s="136">
        <f>C51 * ((1 + D51 / 100) ^ E51 - 1) / (E51 * (D51 / 100))</f>
        <v>36.455898749737692</v>
      </c>
      <c r="I51" s="81" t="s">
        <v>58</v>
      </c>
      <c r="J51" s="124">
        <v>30</v>
      </c>
      <c r="K51" s="124">
        <v>5.5</v>
      </c>
      <c r="L51" s="109">
        <f>J13</f>
        <v>8</v>
      </c>
      <c r="M51" s="136">
        <f>J51 * ((1 + K51 / 100) ^ L51 - 1) / (L51 * (K51 / 100))</f>
        <v>36.455898749737692</v>
      </c>
    </row>
    <row r="52" spans="2:16" ht="22.05" customHeight="1">
      <c r="B52" s="81" t="s">
        <v>59</v>
      </c>
      <c r="C52" s="124">
        <v>18</v>
      </c>
      <c r="D52" s="124">
        <v>7</v>
      </c>
      <c r="E52" s="109">
        <f>C13</f>
        <v>8</v>
      </c>
      <c r="F52" s="136">
        <f>C52 * ((1 + D52 / 100) ^ E52 - 1) / (E52 * (D52 / 100))</f>
        <v>23.084555780311721</v>
      </c>
      <c r="I52" s="81" t="s">
        <v>59</v>
      </c>
      <c r="J52" s="124">
        <v>18</v>
      </c>
      <c r="K52" s="124">
        <v>7</v>
      </c>
      <c r="L52" s="109">
        <f>J13</f>
        <v>8</v>
      </c>
      <c r="M52" s="136">
        <f>J52 * ((1 + K52 / 100) ^ L52 - 1) / (L52 * (K52 / 100))</f>
        <v>23.084555780311721</v>
      </c>
    </row>
    <row r="53" spans="2:16" ht="22.05" customHeight="1">
      <c r="B53" s="81" t="s">
        <v>60</v>
      </c>
      <c r="C53" s="124">
        <v>17</v>
      </c>
      <c r="D53" s="124">
        <v>5</v>
      </c>
      <c r="E53" s="109">
        <f>C13</f>
        <v>8</v>
      </c>
      <c r="F53" s="136">
        <f>C53 * ((1 + D53 / 100) ^ E53 - 1) / (E53 * (D53 / 100))</f>
        <v>20.291856361035158</v>
      </c>
      <c r="I53" s="81" t="s">
        <v>60</v>
      </c>
      <c r="J53" s="124">
        <v>17</v>
      </c>
      <c r="K53" s="124">
        <v>5</v>
      </c>
      <c r="L53" s="109">
        <f>J13</f>
        <v>8</v>
      </c>
      <c r="M53" s="136">
        <f>J53 * ((1 + K53 / 100) ^ L53 - 1) / (L53 * (K53 / 100))</f>
        <v>20.291856361035158</v>
      </c>
    </row>
    <row r="54" spans="2:16" ht="22.05" customHeight="1">
      <c r="B54" s="81" t="s">
        <v>61</v>
      </c>
      <c r="C54" s="124">
        <v>21</v>
      </c>
      <c r="D54" s="124">
        <v>9</v>
      </c>
      <c r="E54" s="109">
        <f>C13</f>
        <v>8</v>
      </c>
      <c r="F54" s="136">
        <f>C54 * ((1 + D54 / 100) ^ E54 - 1) / (E54 * (D54 / 100))</f>
        <v>28.949743715963962</v>
      </c>
      <c r="I54" s="81" t="s">
        <v>61</v>
      </c>
      <c r="J54" s="124">
        <v>21</v>
      </c>
      <c r="K54" s="124">
        <v>9</v>
      </c>
      <c r="L54" s="109">
        <f>J13</f>
        <v>8</v>
      </c>
      <c r="M54" s="136">
        <f>J54 * ((1 + K54 / 100) ^ L54 - 1) / (L54 * (K54 / 100))</f>
        <v>28.949743715963962</v>
      </c>
    </row>
    <row r="55" spans="2:16" ht="22.05" customHeight="1"/>
    <row r="56" spans="2:16" ht="22.05" customHeight="1">
      <c r="B56" s="81" t="s">
        <v>62</v>
      </c>
      <c r="C56" s="125">
        <v>2.6989999999999998</v>
      </c>
    </row>
    <row r="57" spans="2:16" ht="22.05" customHeight="1">
      <c r="B57" s="81" t="s">
        <v>63</v>
      </c>
      <c r="C57" s="125">
        <v>2.9340000000000002</v>
      </c>
    </row>
    <row r="58" spans="2:16" ht="22.05" customHeight="1">
      <c r="B58" s="81" t="s">
        <v>64</v>
      </c>
      <c r="C58" s="125">
        <v>0.59099999999999997</v>
      </c>
    </row>
    <row r="59" spans="2:16" ht="22.05" customHeight="1">
      <c r="B59" s="81" t="s">
        <v>65</v>
      </c>
      <c r="C59" s="125">
        <v>0.44900000000000001</v>
      </c>
    </row>
    <row r="60" spans="2:16" ht="22.05" customHeight="1">
      <c r="B60" s="81" t="s">
        <v>66</v>
      </c>
      <c r="C60" s="125">
        <v>7.0000000000000007E-2</v>
      </c>
    </row>
    <row r="63" spans="2:16">
      <c r="B63" s="126"/>
      <c r="C63" s="126"/>
      <c r="D63" s="126"/>
      <c r="E63" s="126"/>
      <c r="F63" s="126"/>
      <c r="G63" s="126"/>
      <c r="H63" s="126"/>
      <c r="I63" s="126"/>
      <c r="J63" s="126"/>
      <c r="K63" s="126"/>
      <c r="L63" s="126"/>
      <c r="M63" s="126"/>
      <c r="N63" s="126"/>
      <c r="O63" s="126"/>
      <c r="P63" s="126"/>
    </row>
    <row r="64" spans="2:16">
      <c r="B64" s="81" t="s">
        <v>99</v>
      </c>
    </row>
    <row r="65" spans="2:15">
      <c r="B65" s="81" t="s">
        <v>100</v>
      </c>
    </row>
    <row r="66" spans="2:15">
      <c r="M66" s="204"/>
      <c r="N66" s="205"/>
      <c r="O66" s="205"/>
    </row>
    <row r="67" spans="2:15">
      <c r="B67" s="127"/>
      <c r="I67" s="127"/>
      <c r="M67" s="205"/>
      <c r="N67" s="205"/>
      <c r="O67" s="205"/>
    </row>
    <row r="68" spans="2:15" ht="5.0999999999999996" customHeight="1">
      <c r="M68" s="205"/>
      <c r="N68" s="205"/>
      <c r="O68" s="205"/>
    </row>
    <row r="69" spans="2:15" ht="50.1" customHeight="1">
      <c r="B69" s="206"/>
      <c r="C69" s="206"/>
      <c r="D69" s="206"/>
      <c r="E69" s="206"/>
      <c r="I69" s="207"/>
      <c r="J69" s="207"/>
      <c r="K69" s="207"/>
      <c r="M69" s="205"/>
      <c r="N69" s="205"/>
      <c r="O69" s="205"/>
    </row>
    <row r="70" spans="2:15">
      <c r="M70" s="205"/>
      <c r="N70" s="205"/>
      <c r="O70" s="205"/>
    </row>
    <row r="71" spans="2:15">
      <c r="B71" s="129" t="s">
        <v>74</v>
      </c>
      <c r="I71" s="127"/>
      <c r="M71" s="205"/>
      <c r="N71" s="205"/>
      <c r="O71" s="205"/>
    </row>
    <row r="72" spans="2:15" ht="5.0999999999999996" customHeight="1">
      <c r="M72" s="205"/>
      <c r="N72" s="205"/>
      <c r="O72" s="205"/>
    </row>
    <row r="73" spans="2:15" ht="50.1" customHeight="1">
      <c r="B73" s="206" t="s">
        <v>75</v>
      </c>
      <c r="C73" s="206"/>
      <c r="D73" s="206"/>
      <c r="E73" s="128"/>
      <c r="I73" s="206"/>
      <c r="J73" s="206"/>
      <c r="K73" s="206"/>
      <c r="M73" s="205"/>
      <c r="N73" s="205"/>
      <c r="O73" s="205"/>
    </row>
    <row r="74" spans="2:15">
      <c r="B74" s="206"/>
      <c r="C74" s="206"/>
      <c r="D74" s="206"/>
      <c r="I74" s="127"/>
      <c r="M74" s="205"/>
      <c r="N74" s="205"/>
      <c r="O74" s="205"/>
    </row>
    <row r="75" spans="2:15">
      <c r="B75" s="127" t="s">
        <v>4</v>
      </c>
      <c r="M75" s="205"/>
      <c r="N75" s="205"/>
      <c r="O75" s="205"/>
    </row>
    <row r="76" spans="2:15" ht="4.05" customHeight="1">
      <c r="M76" s="205"/>
      <c r="N76" s="205"/>
      <c r="O76" s="205"/>
    </row>
    <row r="77" spans="2:15" ht="22.05" customHeight="1">
      <c r="B77" s="207" t="s">
        <v>5</v>
      </c>
      <c r="C77" s="207"/>
      <c r="D77" s="207"/>
      <c r="E77" s="207"/>
      <c r="M77" s="205"/>
      <c r="N77" s="205"/>
      <c r="O77" s="205"/>
    </row>
    <row r="78" spans="2:15">
      <c r="B78" s="207"/>
      <c r="C78" s="207"/>
      <c r="D78" s="207"/>
      <c r="E78" s="207"/>
    </row>
    <row r="79" spans="2:15" ht="74.099999999999994" customHeight="1"/>
  </sheetData>
  <mergeCells count="12">
    <mergeCell ref="F46:F49"/>
    <mergeCell ref="D1:I4"/>
    <mergeCell ref="J3:K3"/>
    <mergeCell ref="J4:K4"/>
    <mergeCell ref="J5:K5"/>
    <mergeCell ref="J6:K6"/>
    <mergeCell ref="M66:O77"/>
    <mergeCell ref="B69:E69"/>
    <mergeCell ref="I69:K69"/>
    <mergeCell ref="B73:D74"/>
    <mergeCell ref="I73:K73"/>
    <mergeCell ref="B77:E78"/>
  </mergeCells>
  <dataValidations count="2">
    <dataValidation type="list" allowBlank="1" showInputMessage="1" showErrorMessage="1" sqref="C26 J26" xr:uid="{9ADC9D01-ED11-4233-BED1-D9581DC7F720}">
      <formula1>$D$26:$F$26</formula1>
    </dataValidation>
    <dataValidation type="list" allowBlank="1" showInputMessage="1" showErrorMessage="1" sqref="C15 J15" xr:uid="{F71DA829-6A4F-4B71-9FAF-B885E2E95CFB}">
      <formula1>$D$15:$H$15</formula1>
    </dataValidation>
  </dataValidations>
  <hyperlinks>
    <hyperlink ref="D8" location="Info!A1" display="Till innehållsförteckning" xr:uid="{47483ABC-D676-4677-80C0-FDAC8BFE93F7}"/>
  </hyperlinks>
  <pageMargins left="1" right="1" top="1" bottom="1" header="0.5" footer="0.5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71168D-864F-448E-807D-AF6FF64A3E57}">
  <dimension ref="A1:S72"/>
  <sheetViews>
    <sheetView showGridLines="0" zoomScale="50" zoomScaleNormal="50" workbookViewId="0">
      <selection activeCell="B8" sqref="B8"/>
    </sheetView>
  </sheetViews>
  <sheetFormatPr defaultColWidth="8.77734375" defaultRowHeight="21"/>
  <cols>
    <col min="1" max="1" width="8.77734375" style="147"/>
    <col min="2" max="2" width="50.77734375" style="147" customWidth="1"/>
    <col min="3" max="6" width="25.77734375" style="147" customWidth="1"/>
    <col min="7" max="7" width="30.21875" style="147" customWidth="1"/>
    <col min="8" max="8" width="8.77734375" style="147"/>
    <col min="9" max="9" width="50.77734375" style="147" customWidth="1"/>
    <col min="10" max="10" width="25.77734375" style="147" customWidth="1"/>
    <col min="11" max="11" width="20.77734375" style="147" customWidth="1"/>
    <col min="12" max="12" width="24.5546875" style="147" customWidth="1"/>
    <col min="13" max="13" width="24.21875" style="147" customWidth="1"/>
    <col min="14" max="15" width="8.77734375" style="147"/>
    <col min="16" max="16" width="35" style="147" customWidth="1"/>
    <col min="17" max="16384" width="8.77734375" style="147"/>
  </cols>
  <sheetData>
    <row r="1" spans="1:19" s="9" customFormat="1" ht="24" customHeight="1">
      <c r="A1" s="135"/>
      <c r="B1" s="138"/>
      <c r="C1" s="139"/>
      <c r="D1" s="216" t="s">
        <v>92</v>
      </c>
      <c r="E1" s="217"/>
      <c r="F1" s="217"/>
      <c r="G1" s="217"/>
      <c r="H1" s="217"/>
      <c r="I1" s="217"/>
      <c r="J1" s="6"/>
      <c r="K1" s="6"/>
      <c r="L1" s="6"/>
      <c r="M1" s="6"/>
      <c r="N1" s="6"/>
      <c r="O1" s="6"/>
    </row>
    <row r="2" spans="1:19" s="9" customFormat="1" ht="30" customHeight="1">
      <c r="A2" s="135"/>
      <c r="B2" s="138"/>
      <c r="C2" s="139"/>
      <c r="D2" s="217"/>
      <c r="E2" s="217"/>
      <c r="F2" s="217"/>
      <c r="G2" s="217"/>
      <c r="H2" s="217"/>
      <c r="I2" s="217"/>
      <c r="J2" s="140" t="s">
        <v>93</v>
      </c>
      <c r="K2" s="6"/>
      <c r="L2" s="6"/>
      <c r="M2" s="6"/>
      <c r="N2" s="6"/>
      <c r="O2" s="6"/>
    </row>
    <row r="3" spans="1:19" s="9" customFormat="1" ht="27" customHeight="1">
      <c r="A3" s="135"/>
      <c r="B3" s="138"/>
      <c r="C3" s="139"/>
      <c r="D3" s="217"/>
      <c r="E3" s="217"/>
      <c r="F3" s="217"/>
      <c r="G3" s="217"/>
      <c r="H3" s="217"/>
      <c r="I3" s="217"/>
      <c r="J3" s="196" t="s">
        <v>7</v>
      </c>
      <c r="K3" s="196"/>
      <c r="L3" s="6"/>
      <c r="M3" s="6"/>
      <c r="N3" s="6"/>
      <c r="O3" s="6"/>
    </row>
    <row r="4" spans="1:19" s="9" customFormat="1" ht="28.05" customHeight="1">
      <c r="A4" s="135"/>
      <c r="B4" s="138"/>
      <c r="C4" s="139"/>
      <c r="D4" s="217"/>
      <c r="E4" s="217"/>
      <c r="F4" s="217"/>
      <c r="G4" s="217"/>
      <c r="H4" s="217"/>
      <c r="I4" s="217"/>
      <c r="J4" s="197" t="s">
        <v>8</v>
      </c>
      <c r="K4" s="197"/>
      <c r="L4" s="6"/>
      <c r="M4" s="6"/>
      <c r="N4" s="6"/>
      <c r="O4" s="6"/>
    </row>
    <row r="5" spans="1:19" s="9" customFormat="1" ht="33" customHeight="1">
      <c r="A5" s="135"/>
      <c r="B5" s="138"/>
      <c r="C5" s="141"/>
      <c r="D5" s="180" t="s">
        <v>131</v>
      </c>
      <c r="E5" s="142"/>
      <c r="F5" s="142"/>
      <c r="G5" s="142"/>
      <c r="H5" s="142"/>
      <c r="I5" s="142"/>
      <c r="J5" s="199" t="s">
        <v>9</v>
      </c>
      <c r="K5" s="199"/>
      <c r="L5" s="6"/>
      <c r="M5" s="6"/>
      <c r="N5" s="6"/>
      <c r="O5" s="6"/>
    </row>
    <row r="6" spans="1:19" s="9" customFormat="1" ht="33" customHeight="1">
      <c r="A6" s="135"/>
      <c r="B6" s="138"/>
      <c r="C6" s="143"/>
      <c r="D6" s="180" t="s">
        <v>132</v>
      </c>
      <c r="E6" s="144"/>
      <c r="F6" s="144"/>
      <c r="G6" s="144"/>
      <c r="H6" s="144"/>
      <c r="I6" s="144"/>
      <c r="J6" s="201" t="s">
        <v>11</v>
      </c>
      <c r="K6" s="201"/>
      <c r="L6" s="6"/>
      <c r="M6" s="6"/>
      <c r="N6" s="6"/>
      <c r="O6" s="6"/>
    </row>
    <row r="7" spans="1:19" s="10" customFormat="1" ht="24" customHeight="1">
      <c r="A7" s="145"/>
      <c r="B7" s="146"/>
      <c r="C7" s="141"/>
      <c r="D7" s="142"/>
      <c r="E7" s="142"/>
      <c r="F7" s="142"/>
      <c r="G7" s="7"/>
      <c r="H7" s="7"/>
      <c r="I7" s="7"/>
      <c r="J7" s="7"/>
      <c r="K7" s="7"/>
      <c r="L7" s="7"/>
      <c r="M7" s="7"/>
      <c r="N7" s="7"/>
      <c r="O7" s="7"/>
    </row>
    <row r="8" spans="1:19" ht="22.05" customHeight="1">
      <c r="D8" s="178" t="s">
        <v>126</v>
      </c>
    </row>
    <row r="9" spans="1:19" s="148" customFormat="1" ht="34.049999999999997" customHeight="1">
      <c r="B9" s="149" t="s">
        <v>12</v>
      </c>
      <c r="C9" s="150"/>
      <c r="D9" s="150"/>
      <c r="E9" s="150"/>
      <c r="F9" s="150"/>
      <c r="G9" s="150"/>
      <c r="H9" s="150"/>
      <c r="I9" s="149" t="s">
        <v>13</v>
      </c>
    </row>
    <row r="10" spans="1:19" ht="22.05" customHeight="1">
      <c r="P10" s="151"/>
      <c r="Q10" s="151"/>
      <c r="R10" s="151"/>
      <c r="S10" s="151"/>
    </row>
    <row r="11" spans="1:19" ht="22.05" customHeight="1">
      <c r="B11" s="4" t="s">
        <v>108</v>
      </c>
      <c r="C11" s="21" t="s">
        <v>119</v>
      </c>
      <c r="D11" s="152"/>
      <c r="E11" s="4"/>
      <c r="F11" s="4"/>
      <c r="G11" s="4"/>
      <c r="H11" s="4"/>
      <c r="I11" s="4" t="s">
        <v>108</v>
      </c>
      <c r="J11" s="21" t="s">
        <v>120</v>
      </c>
      <c r="K11" s="152"/>
      <c r="P11" s="151"/>
      <c r="Q11" s="151"/>
      <c r="R11" s="151"/>
      <c r="S11" s="151"/>
    </row>
    <row r="12" spans="1:19" ht="22.05" customHeight="1">
      <c r="B12" s="147" t="s">
        <v>83</v>
      </c>
      <c r="C12" s="153">
        <v>700000</v>
      </c>
      <c r="D12" s="154">
        <f>C12-((C25/100)*C12)</f>
        <v>700000</v>
      </c>
      <c r="E12" s="155"/>
      <c r="F12" s="155"/>
      <c r="G12" s="155"/>
      <c r="H12" s="155"/>
      <c r="I12" s="147" t="s">
        <v>83</v>
      </c>
      <c r="J12" s="153">
        <v>1000000</v>
      </c>
      <c r="K12" s="154">
        <f>J12-((J25/100)*J12)</f>
        <v>850000</v>
      </c>
      <c r="L12" s="155"/>
      <c r="M12" s="155"/>
      <c r="N12" s="155"/>
      <c r="O12" s="155"/>
      <c r="P12" s="151"/>
      <c r="Q12" s="151"/>
      <c r="R12" s="151"/>
      <c r="S12" s="151"/>
    </row>
    <row r="13" spans="1:19" ht="22.05" customHeight="1">
      <c r="B13" s="147" t="s">
        <v>16</v>
      </c>
      <c r="C13" s="153">
        <v>8</v>
      </c>
      <c r="D13" s="154"/>
      <c r="E13" s="155"/>
      <c r="F13" s="155"/>
      <c r="G13" s="155"/>
      <c r="H13" s="155"/>
      <c r="I13" s="147" t="s">
        <v>16</v>
      </c>
      <c r="J13" s="153">
        <v>8</v>
      </c>
      <c r="K13" s="154"/>
      <c r="L13" s="155"/>
      <c r="M13" s="155"/>
      <c r="N13" s="155"/>
      <c r="O13" s="155"/>
      <c r="P13" s="156"/>
      <c r="Q13" s="151"/>
      <c r="R13" s="151"/>
      <c r="S13" s="151"/>
    </row>
    <row r="14" spans="1:19" ht="22.05" customHeight="1">
      <c r="B14" s="147" t="s">
        <v>109</v>
      </c>
      <c r="C14" s="153">
        <v>600</v>
      </c>
      <c r="D14" s="154"/>
      <c r="E14" s="155"/>
      <c r="F14" s="155"/>
      <c r="G14" s="155"/>
      <c r="H14" s="155"/>
      <c r="I14" s="147" t="s">
        <v>109</v>
      </c>
      <c r="J14" s="153">
        <v>600</v>
      </c>
      <c r="K14" s="154"/>
      <c r="L14" s="155"/>
      <c r="M14" s="155"/>
      <c r="N14" s="155"/>
      <c r="O14" s="155"/>
      <c r="P14" s="151"/>
      <c r="Q14" s="151"/>
      <c r="R14" s="151"/>
      <c r="S14" s="151"/>
    </row>
    <row r="15" spans="1:19" ht="22.05" customHeight="1">
      <c r="B15" s="147" t="s">
        <v>18</v>
      </c>
      <c r="C15" s="157" t="s">
        <v>23</v>
      </c>
      <c r="D15" s="154" t="s">
        <v>19</v>
      </c>
      <c r="E15" s="155" t="s">
        <v>21</v>
      </c>
      <c r="F15" s="155" t="s">
        <v>22</v>
      </c>
      <c r="G15" s="155" t="s">
        <v>110</v>
      </c>
      <c r="H15" s="155" t="s">
        <v>23</v>
      </c>
      <c r="I15" s="147" t="s">
        <v>18</v>
      </c>
      <c r="J15" s="157" t="s">
        <v>19</v>
      </c>
      <c r="K15" s="154" t="s">
        <v>19</v>
      </c>
      <c r="L15" s="155" t="s">
        <v>21</v>
      </c>
      <c r="M15" s="155" t="s">
        <v>22</v>
      </c>
      <c r="N15" s="155" t="s">
        <v>110</v>
      </c>
      <c r="O15" s="155"/>
      <c r="P15" s="151"/>
      <c r="Q15" s="151"/>
      <c r="R15" s="151"/>
      <c r="S15" s="151"/>
    </row>
    <row r="16" spans="1:19" ht="22.05" customHeight="1">
      <c r="B16" s="147" t="s">
        <v>24</v>
      </c>
      <c r="C16" s="158">
        <v>90</v>
      </c>
      <c r="D16" s="154"/>
      <c r="E16" s="155"/>
      <c r="F16" s="155"/>
      <c r="G16" s="155"/>
      <c r="H16" s="155"/>
      <c r="I16" s="147" t="s">
        <v>24</v>
      </c>
      <c r="J16" s="158">
        <v>90</v>
      </c>
      <c r="K16" s="154"/>
      <c r="L16" s="155"/>
      <c r="M16" s="155"/>
      <c r="N16" s="155"/>
      <c r="O16" s="155"/>
      <c r="P16" s="151"/>
      <c r="Q16" s="151"/>
      <c r="R16" s="151"/>
      <c r="S16" s="151"/>
    </row>
    <row r="17" spans="1:15" ht="22.05" customHeight="1">
      <c r="B17" s="147" t="s">
        <v>25</v>
      </c>
      <c r="C17" s="153">
        <v>4</v>
      </c>
      <c r="D17" s="154"/>
      <c r="E17" s="155"/>
      <c r="F17" s="155"/>
      <c r="G17" s="155"/>
      <c r="H17" s="155"/>
      <c r="I17" s="147" t="s">
        <v>25</v>
      </c>
      <c r="J17" s="153">
        <v>4</v>
      </c>
      <c r="K17" s="154"/>
      <c r="L17" s="155"/>
      <c r="M17" s="155"/>
      <c r="N17" s="155"/>
      <c r="O17" s="155"/>
    </row>
    <row r="18" spans="1:15" ht="22.05" customHeight="1">
      <c r="B18" s="147" t="s">
        <v>26</v>
      </c>
      <c r="C18" s="153">
        <v>15000</v>
      </c>
      <c r="D18" s="154"/>
      <c r="E18" s="155"/>
      <c r="F18" s="155"/>
      <c r="G18" s="155"/>
      <c r="H18" s="155"/>
      <c r="I18" s="147" t="s">
        <v>26</v>
      </c>
      <c r="J18" s="159">
        <v>10000</v>
      </c>
      <c r="K18" s="154"/>
      <c r="L18" s="155"/>
      <c r="M18" s="155"/>
      <c r="N18" s="155"/>
      <c r="O18" s="155"/>
    </row>
    <row r="19" spans="1:15" ht="22.05" customHeight="1">
      <c r="B19" s="147" t="s">
        <v>27</v>
      </c>
      <c r="C19" s="153">
        <v>5000</v>
      </c>
      <c r="D19" s="154"/>
      <c r="E19" s="155"/>
      <c r="F19" s="155"/>
      <c r="G19" s="155"/>
      <c r="H19" s="155"/>
      <c r="I19" s="147" t="s">
        <v>27</v>
      </c>
      <c r="J19" s="153">
        <v>5000</v>
      </c>
      <c r="K19" s="154"/>
      <c r="L19" s="155"/>
      <c r="M19" s="155"/>
      <c r="N19" s="155"/>
      <c r="O19" s="155"/>
    </row>
    <row r="20" spans="1:15" ht="22.05" customHeight="1">
      <c r="B20" s="147" t="s">
        <v>111</v>
      </c>
      <c r="C20" s="153">
        <v>0</v>
      </c>
      <c r="D20" s="154">
        <f>IF(C15="El",C20,0)</f>
        <v>0</v>
      </c>
      <c r="E20" s="155"/>
      <c r="F20" s="155"/>
      <c r="G20" s="155"/>
      <c r="H20" s="155"/>
      <c r="I20" s="147" t="s">
        <v>111</v>
      </c>
      <c r="J20" s="153">
        <v>5</v>
      </c>
      <c r="K20" s="154">
        <f>IF(J15="El",J20,0)</f>
        <v>5</v>
      </c>
      <c r="L20" s="155"/>
      <c r="M20" s="155"/>
      <c r="N20" s="155"/>
      <c r="O20" s="155"/>
    </row>
    <row r="21" spans="1:15" ht="22.05" customHeight="1">
      <c r="B21" s="147" t="s">
        <v>112</v>
      </c>
      <c r="C21" s="153">
        <v>0</v>
      </c>
      <c r="D21" s="154">
        <f>IF(C15="Diesel",C21,0)</f>
        <v>0</v>
      </c>
      <c r="E21" s="155"/>
      <c r="F21" s="155"/>
      <c r="G21" s="155"/>
      <c r="H21" s="155"/>
      <c r="I21" s="147" t="s">
        <v>112</v>
      </c>
      <c r="J21" s="153">
        <v>0</v>
      </c>
      <c r="K21" s="154">
        <f>IF(J15="Diesel",J21,0)</f>
        <v>0</v>
      </c>
      <c r="L21" s="155"/>
      <c r="M21" s="155"/>
      <c r="N21" s="155"/>
      <c r="O21" s="155"/>
    </row>
    <row r="22" spans="1:15" ht="22.05" customHeight="1">
      <c r="B22" s="147" t="s">
        <v>113</v>
      </c>
      <c r="C22" s="153">
        <v>0</v>
      </c>
      <c r="D22" s="154">
        <f>IF(C15="Bensin",C22,0)</f>
        <v>0</v>
      </c>
      <c r="E22" s="155"/>
      <c r="F22" s="155"/>
      <c r="G22" s="155"/>
      <c r="H22" s="155"/>
      <c r="I22" s="147" t="s">
        <v>113</v>
      </c>
      <c r="J22" s="153">
        <v>0</v>
      </c>
      <c r="K22" s="154">
        <f>IF(J15="Bensin",J22,0)</f>
        <v>0</v>
      </c>
      <c r="L22" s="155"/>
      <c r="M22" s="155"/>
      <c r="N22" s="155"/>
      <c r="O22" s="155"/>
    </row>
    <row r="23" spans="1:15" ht="22.05" customHeight="1">
      <c r="B23" s="147" t="s">
        <v>114</v>
      </c>
      <c r="C23" s="153">
        <v>0</v>
      </c>
      <c r="D23" s="154">
        <f>IF(C15="Alkylatbensin",C23,0)</f>
        <v>0</v>
      </c>
      <c r="E23" s="155"/>
      <c r="F23" s="155"/>
      <c r="G23" s="155"/>
      <c r="H23" s="155"/>
      <c r="I23" s="147" t="s">
        <v>114</v>
      </c>
      <c r="J23" s="153">
        <v>0</v>
      </c>
      <c r="K23" s="154">
        <f>IF(J15="Alkylatbensin",J23,0)</f>
        <v>0</v>
      </c>
      <c r="L23" s="155"/>
      <c r="M23" s="155"/>
      <c r="N23" s="155"/>
      <c r="O23" s="155"/>
    </row>
    <row r="24" spans="1:15" ht="22.05" customHeight="1">
      <c r="B24" s="147" t="s">
        <v>115</v>
      </c>
      <c r="C24" s="153">
        <v>3</v>
      </c>
      <c r="D24" s="154">
        <f>IF(C15="HVO100",C24,0)</f>
        <v>3</v>
      </c>
      <c r="E24" s="155"/>
      <c r="F24" s="155"/>
      <c r="G24" s="155"/>
      <c r="H24" s="155"/>
      <c r="I24" s="147" t="s">
        <v>115</v>
      </c>
      <c r="J24" s="153">
        <v>0</v>
      </c>
      <c r="K24" s="154">
        <f>IF(J15="HVO100",J24,0)</f>
        <v>0</v>
      </c>
      <c r="L24" s="155"/>
      <c r="M24" s="155"/>
      <c r="N24" s="155"/>
      <c r="O24" s="155"/>
    </row>
    <row r="25" spans="1:15" ht="22.05" customHeight="1">
      <c r="B25" s="17" t="s">
        <v>95</v>
      </c>
      <c r="C25" s="153">
        <v>0</v>
      </c>
      <c r="D25" s="154"/>
      <c r="E25" s="155"/>
      <c r="F25" s="155"/>
      <c r="G25" s="155"/>
      <c r="H25" s="155"/>
      <c r="I25" s="17" t="s">
        <v>95</v>
      </c>
      <c r="J25" s="153">
        <v>15</v>
      </c>
      <c r="K25" s="160" t="s">
        <v>116</v>
      </c>
      <c r="L25" s="155"/>
      <c r="M25" s="155"/>
      <c r="N25" s="155"/>
      <c r="O25" s="155"/>
    </row>
    <row r="26" spans="1:15" ht="22.05" customHeight="1">
      <c r="B26" s="147" t="s">
        <v>40</v>
      </c>
      <c r="C26" s="153">
        <v>1.5</v>
      </c>
      <c r="D26" s="154"/>
      <c r="E26" s="155"/>
      <c r="F26" s="155"/>
      <c r="G26" s="155"/>
      <c r="H26" s="155"/>
      <c r="I26" s="147" t="s">
        <v>40</v>
      </c>
      <c r="J26" s="153">
        <v>1.5</v>
      </c>
      <c r="K26" s="154"/>
      <c r="L26" s="155"/>
      <c r="M26" s="155"/>
      <c r="N26" s="155"/>
      <c r="O26" s="155"/>
    </row>
    <row r="27" spans="1:15" ht="22.05" customHeight="1">
      <c r="A27" s="4"/>
      <c r="B27" s="4"/>
      <c r="C27" s="4"/>
      <c r="D27" s="4"/>
      <c r="E27" s="4"/>
      <c r="F27" s="181" t="s">
        <v>86</v>
      </c>
      <c r="G27" s="4"/>
      <c r="H27" s="4"/>
      <c r="I27" s="4"/>
      <c r="J27" s="4"/>
      <c r="K27" s="4"/>
      <c r="L27" s="4"/>
      <c r="M27" s="214" t="s">
        <v>86</v>
      </c>
      <c r="N27" s="155"/>
      <c r="O27" s="155"/>
    </row>
    <row r="28" spans="1:15" ht="22.05" customHeight="1">
      <c r="A28" s="4"/>
      <c r="B28" s="62" t="s">
        <v>87</v>
      </c>
      <c r="C28" s="63"/>
      <c r="D28" s="63"/>
      <c r="E28" s="63"/>
      <c r="F28" s="182"/>
      <c r="G28" s="63"/>
      <c r="H28" s="63"/>
      <c r="I28" s="62" t="s">
        <v>87</v>
      </c>
      <c r="J28" s="63"/>
      <c r="K28" s="63"/>
      <c r="L28" s="63"/>
      <c r="M28" s="215"/>
      <c r="N28" s="155"/>
      <c r="O28" s="155"/>
    </row>
    <row r="29" spans="1:15" ht="22.05" customHeight="1">
      <c r="A29" s="4"/>
      <c r="B29" s="4"/>
      <c r="C29" s="64" t="s">
        <v>88</v>
      </c>
      <c r="D29" s="64" t="s">
        <v>89</v>
      </c>
      <c r="E29" s="4" t="s">
        <v>90</v>
      </c>
      <c r="F29" s="182"/>
      <c r="G29" s="4"/>
      <c r="H29" s="4"/>
      <c r="I29" s="4"/>
      <c r="J29" s="64" t="s">
        <v>88</v>
      </c>
      <c r="K29" s="64" t="s">
        <v>89</v>
      </c>
      <c r="L29" s="4" t="s">
        <v>90</v>
      </c>
      <c r="M29" s="215"/>
    </row>
    <row r="30" spans="1:15" ht="22.05" customHeight="1">
      <c r="A30" s="4"/>
      <c r="B30" s="4" t="s">
        <v>91</v>
      </c>
      <c r="C30" s="161">
        <v>1.7</v>
      </c>
      <c r="D30" s="161">
        <v>6</v>
      </c>
      <c r="E30" s="36">
        <f>C13</f>
        <v>8</v>
      </c>
      <c r="F30" s="162">
        <f>C30 * ((1 + D30 / 100) ^ E30 - 1) / (E30 * (D30 / 100))</f>
        <v>2.1032119306300663</v>
      </c>
      <c r="G30" s="4"/>
      <c r="H30" s="4"/>
      <c r="I30" s="4" t="s">
        <v>91</v>
      </c>
      <c r="J30" s="161">
        <v>1.7</v>
      </c>
      <c r="K30" s="161">
        <v>6</v>
      </c>
      <c r="L30" s="36">
        <f>J13</f>
        <v>8</v>
      </c>
      <c r="M30" s="162">
        <f>J30 * ((1 + K30 / 100) ^ L30 - 1) / (L30 * (K30 / 100))</f>
        <v>2.1032119306300663</v>
      </c>
    </row>
    <row r="31" spans="1:15" ht="22.05" customHeight="1">
      <c r="A31" s="4"/>
      <c r="B31" s="4" t="s">
        <v>58</v>
      </c>
      <c r="C31" s="161">
        <v>30</v>
      </c>
      <c r="D31" s="161">
        <v>5.5</v>
      </c>
      <c r="E31" s="36">
        <f>C13</f>
        <v>8</v>
      </c>
      <c r="F31" s="162">
        <f>C31 * ((1 + D31 / 100) ^ E31 - 1) / (E31 * (D31 / 100))</f>
        <v>36.455898749737692</v>
      </c>
      <c r="G31" s="4"/>
      <c r="H31" s="4"/>
      <c r="I31" s="4" t="s">
        <v>58</v>
      </c>
      <c r="J31" s="161">
        <v>30</v>
      </c>
      <c r="K31" s="161">
        <v>5.5</v>
      </c>
      <c r="L31" s="36">
        <f>J13</f>
        <v>8</v>
      </c>
      <c r="M31" s="162">
        <f>J31 * ((1 + K31 / 100) ^ L31 - 1) / (L31 * (K31 / 100))</f>
        <v>36.455898749737692</v>
      </c>
    </row>
    <row r="32" spans="1:15" ht="22.05" customHeight="1">
      <c r="A32" s="4"/>
      <c r="B32" s="4" t="s">
        <v>59</v>
      </c>
      <c r="C32" s="161">
        <v>18</v>
      </c>
      <c r="D32" s="161">
        <v>7</v>
      </c>
      <c r="E32" s="36">
        <f>C13</f>
        <v>8</v>
      </c>
      <c r="F32" s="162">
        <f>C32 * ((1 + D32 / 100) ^ E32 - 1) / (E32 * (D32 / 100))</f>
        <v>23.084555780311721</v>
      </c>
      <c r="G32" s="4"/>
      <c r="H32" s="4"/>
      <c r="I32" s="4" t="s">
        <v>59</v>
      </c>
      <c r="J32" s="161">
        <v>18</v>
      </c>
      <c r="K32" s="161">
        <v>7</v>
      </c>
      <c r="L32" s="36">
        <f>J13</f>
        <v>8</v>
      </c>
      <c r="M32" s="162">
        <f>J32 * ((1 + K32 / 100) ^ L32 - 1) / (L32 * (K32 / 100))</f>
        <v>23.084555780311721</v>
      </c>
    </row>
    <row r="33" spans="1:13" ht="22.05" customHeight="1">
      <c r="A33" s="4"/>
      <c r="B33" s="4" t="s">
        <v>60</v>
      </c>
      <c r="C33" s="161">
        <v>17</v>
      </c>
      <c r="D33" s="161">
        <v>5</v>
      </c>
      <c r="E33" s="36">
        <f>C13</f>
        <v>8</v>
      </c>
      <c r="F33" s="162">
        <f>C33 * ((1 + D33 / 100) ^ E33 - 1) / (E33 * (D33 / 100))</f>
        <v>20.291856361035158</v>
      </c>
      <c r="G33" s="4"/>
      <c r="H33" s="4"/>
      <c r="I33" s="4" t="s">
        <v>60</v>
      </c>
      <c r="J33" s="161">
        <v>17</v>
      </c>
      <c r="K33" s="161">
        <v>5</v>
      </c>
      <c r="L33" s="36">
        <f>J13</f>
        <v>8</v>
      </c>
      <c r="M33" s="162">
        <f>J33 * ((1 + K33 / 100) ^ L33 - 1) / (L33 * (K33 / 100))</f>
        <v>20.291856361035158</v>
      </c>
    </row>
    <row r="34" spans="1:13" ht="22.05" customHeight="1">
      <c r="A34" s="4"/>
      <c r="B34" s="4" t="s">
        <v>61</v>
      </c>
      <c r="C34" s="161">
        <v>21</v>
      </c>
      <c r="D34" s="161">
        <v>9</v>
      </c>
      <c r="E34" s="36">
        <f>C13</f>
        <v>8</v>
      </c>
      <c r="F34" s="162">
        <f>C34 * ((1 + D34 / 100) ^ E34 - 1) / (E34 * (D34 / 100))</f>
        <v>28.949743715963962</v>
      </c>
      <c r="G34" s="4"/>
      <c r="H34" s="4"/>
      <c r="I34" s="4" t="s">
        <v>61</v>
      </c>
      <c r="J34" s="161">
        <v>21</v>
      </c>
      <c r="K34" s="161">
        <v>9</v>
      </c>
      <c r="L34" s="36">
        <f>J13</f>
        <v>8</v>
      </c>
      <c r="M34" s="162">
        <f>J34 * ((1 + K34 / 100) ^ L34 - 1) / (L34 * (K34 / 100))</f>
        <v>28.949743715963962</v>
      </c>
    </row>
    <row r="35" spans="1:13" ht="22.05" customHeight="1">
      <c r="G35" s="163"/>
    </row>
    <row r="36" spans="1:13" ht="22.05" customHeight="1"/>
    <row r="37" spans="1:13" s="163" customFormat="1" ht="22.05" customHeight="1">
      <c r="C37" s="163" t="s">
        <v>41</v>
      </c>
      <c r="D37" s="163" t="s">
        <v>42</v>
      </c>
      <c r="J37" s="163" t="s">
        <v>41</v>
      </c>
      <c r="K37" s="163" t="s">
        <v>42</v>
      </c>
    </row>
    <row r="38" spans="1:13" ht="5.0999999999999996" customHeight="1"/>
    <row r="39" spans="1:13" ht="22.05" customHeight="1">
      <c r="B39" s="147" t="s">
        <v>43</v>
      </c>
      <c r="C39" s="164">
        <f>((C17/100)*(D12*(1-C16/100)+D12*(C16/200)))*C13</f>
        <v>123200</v>
      </c>
      <c r="D39" s="164">
        <f>C39/$C$13</f>
        <v>15400</v>
      </c>
      <c r="I39" s="147" t="s">
        <v>43</v>
      </c>
      <c r="J39" s="164">
        <f>((J17/100)*(K12*(1-J16/100)+K12*(J16/200)))*J13</f>
        <v>149600</v>
      </c>
      <c r="K39" s="164">
        <f>J39/$J$13</f>
        <v>18700</v>
      </c>
    </row>
    <row r="40" spans="1:13" ht="22.05" customHeight="1">
      <c r="B40" s="147" t="s">
        <v>44</v>
      </c>
      <c r="C40" s="165">
        <f>((C16/100)*D12)</f>
        <v>630000</v>
      </c>
      <c r="D40" s="164">
        <f>C40/$C$13</f>
        <v>78750</v>
      </c>
      <c r="I40" s="147" t="s">
        <v>44</v>
      </c>
      <c r="J40" s="165">
        <f>((J16/100)*K12)</f>
        <v>765000</v>
      </c>
      <c r="K40" s="164">
        <f t="shared" ref="K40:K43" si="0">J40/$J$13</f>
        <v>95625</v>
      </c>
    </row>
    <row r="41" spans="1:13" ht="22.05" customHeight="1">
      <c r="B41" s="147" t="s">
        <v>45</v>
      </c>
      <c r="C41" s="164">
        <f>(C14*0.8*D20*F30+C14*0.8*D21*F31+C14*0.8*D22*F32+C14*0.8*D23*F33+C14*0.8*D24*F34)*C13</f>
        <v>333501.04760790482</v>
      </c>
      <c r="D41" s="164">
        <f>C41/$C$13</f>
        <v>41687.630950988103</v>
      </c>
      <c r="I41" s="147" t="s">
        <v>45</v>
      </c>
      <c r="J41" s="164">
        <f>(J14*0.8*K20*M30+J14*0.8*K21*M31+J14*0.8*K22*M32+J14*0.8*K23*M33+J14*0.8*K24*M34)*J13</f>
        <v>40381.669068097275</v>
      </c>
      <c r="K41" s="164">
        <f t="shared" si="0"/>
        <v>5047.7086335121594</v>
      </c>
    </row>
    <row r="42" spans="1:13" ht="22.05" customHeight="1">
      <c r="B42" s="147" t="s">
        <v>47</v>
      </c>
      <c r="C42" s="165">
        <f>C18*C13</f>
        <v>120000</v>
      </c>
      <c r="D42" s="164">
        <f>C42/$C$13</f>
        <v>15000</v>
      </c>
      <c r="I42" s="147" t="s">
        <v>47</v>
      </c>
      <c r="J42" s="165">
        <f>J18*J13</f>
        <v>80000</v>
      </c>
      <c r="K42" s="164">
        <f t="shared" si="0"/>
        <v>10000</v>
      </c>
    </row>
    <row r="43" spans="1:13" ht="22.05" customHeight="1">
      <c r="B43" s="147" t="s">
        <v>48</v>
      </c>
      <c r="C43" s="165">
        <f>C19*C13</f>
        <v>40000</v>
      </c>
      <c r="D43" s="164">
        <f>C43/$C$13</f>
        <v>5000</v>
      </c>
      <c r="I43" s="147" t="s">
        <v>48</v>
      </c>
      <c r="J43" s="165">
        <f>J19*J13</f>
        <v>40000</v>
      </c>
      <c r="K43" s="164">
        <f t="shared" si="0"/>
        <v>5000</v>
      </c>
    </row>
    <row r="44" spans="1:13" ht="22.05" customHeight="1" thickBot="1">
      <c r="I44" s="166"/>
      <c r="J44" s="166"/>
      <c r="K44" s="166"/>
    </row>
    <row r="45" spans="1:13" s="167" customFormat="1" ht="30" customHeight="1" thickTop="1">
      <c r="B45" s="168" t="s">
        <v>49</v>
      </c>
      <c r="C45" s="169">
        <f>SUM(C39:C43)</f>
        <v>1246701.0476079048</v>
      </c>
      <c r="D45" s="169">
        <f>SUM(D39:D43)</f>
        <v>155837.6309509881</v>
      </c>
      <c r="E45" s="55">
        <f>QUOTIENT(D45,C14)</f>
        <v>259</v>
      </c>
      <c r="F45" s="55" t="s">
        <v>128</v>
      </c>
      <c r="I45" s="170" t="s">
        <v>49</v>
      </c>
      <c r="J45" s="171">
        <f>SUM(J39:J43)</f>
        <v>1074981.6690680971</v>
      </c>
      <c r="K45" s="171">
        <f>SUM(K39:K43)</f>
        <v>134372.70863351214</v>
      </c>
      <c r="L45" s="55">
        <f>QUOTIENT(K45,J14)</f>
        <v>223</v>
      </c>
      <c r="M45" s="55" t="s">
        <v>128</v>
      </c>
    </row>
    <row r="46" spans="1:13" ht="22.05" customHeight="1"/>
    <row r="47" spans="1:13" ht="30" customHeight="1">
      <c r="B47" s="172" t="s">
        <v>51</v>
      </c>
      <c r="C47" s="173">
        <f>D47*C13</f>
        <v>6465.6</v>
      </c>
      <c r="D47" s="173">
        <f>C14*D20*C55+C14*D21*C52+C14*D22*C53+C14*D23*C56+C14*D24*C54</f>
        <v>808.2</v>
      </c>
      <c r="E47" s="174"/>
      <c r="F47" s="174"/>
      <c r="G47" s="174"/>
      <c r="H47" s="174"/>
      <c r="I47" s="172" t="s">
        <v>51</v>
      </c>
      <c r="J47" s="173">
        <f>K47*J13</f>
        <v>1680.0000000000002</v>
      </c>
      <c r="K47" s="173">
        <f>J14*K20*C55+J14*K21*C52+J14*K22*C53+J14*K23*C56+J14*K24*C54</f>
        <v>210.00000000000003</v>
      </c>
    </row>
    <row r="48" spans="1:13" ht="30" customHeight="1">
      <c r="B48" s="172" t="s">
        <v>52</v>
      </c>
      <c r="C48" s="175">
        <f>C26*C47</f>
        <v>9698.4000000000015</v>
      </c>
      <c r="D48" s="175">
        <f>C26*D47</f>
        <v>1212.3000000000002</v>
      </c>
      <c r="E48" s="174"/>
      <c r="F48" s="174"/>
      <c r="G48" s="174"/>
      <c r="H48" s="174"/>
      <c r="I48" s="172" t="s">
        <v>52</v>
      </c>
      <c r="J48" s="175">
        <f>J26*J47</f>
        <v>2520.0000000000005</v>
      </c>
      <c r="K48" s="175">
        <f>J26*K47</f>
        <v>315.00000000000006</v>
      </c>
    </row>
    <row r="49" spans="2:12" ht="22.05" customHeight="1"/>
    <row r="50" spans="2:12" ht="22.05" customHeight="1"/>
    <row r="51" spans="2:12" ht="22.05" customHeight="1"/>
    <row r="52" spans="2:12" ht="22.05" customHeight="1">
      <c r="B52" s="147" t="s">
        <v>62</v>
      </c>
      <c r="C52" s="176">
        <v>2.6989999999999998</v>
      </c>
    </row>
    <row r="53" spans="2:12" ht="22.05" customHeight="1">
      <c r="B53" s="147" t="s">
        <v>63</v>
      </c>
      <c r="C53" s="176">
        <v>2.9340000000000002</v>
      </c>
    </row>
    <row r="54" spans="2:12" ht="22.05" customHeight="1">
      <c r="B54" s="147" t="s">
        <v>65</v>
      </c>
      <c r="C54" s="176">
        <v>0.44900000000000001</v>
      </c>
    </row>
    <row r="55" spans="2:12" ht="22.05" customHeight="1">
      <c r="B55" s="147" t="s">
        <v>66</v>
      </c>
      <c r="C55" s="176">
        <v>7.0000000000000007E-2</v>
      </c>
    </row>
    <row r="56" spans="2:12" ht="22.05" customHeight="1">
      <c r="B56" s="147" t="s">
        <v>117</v>
      </c>
      <c r="C56" s="176">
        <v>3.016</v>
      </c>
    </row>
    <row r="61" spans="2:12">
      <c r="B61" s="177"/>
      <c r="C61" s="177"/>
      <c r="D61" s="177"/>
      <c r="E61" s="177"/>
      <c r="F61" s="177"/>
      <c r="G61" s="177"/>
      <c r="H61" s="177"/>
      <c r="I61" s="177"/>
      <c r="J61" s="177"/>
      <c r="K61" s="177"/>
      <c r="L61" s="177"/>
    </row>
    <row r="62" spans="2:12" s="4" customFormat="1">
      <c r="B62" s="4" t="s">
        <v>67</v>
      </c>
    </row>
    <row r="63" spans="2:12" s="4" customFormat="1">
      <c r="B63" s="4" t="s">
        <v>118</v>
      </c>
    </row>
    <row r="64" spans="2:12" s="4" customFormat="1">
      <c r="I64" s="31"/>
    </row>
    <row r="65" spans="2:14" s="4" customFormat="1">
      <c r="B65" s="31" t="s">
        <v>4</v>
      </c>
      <c r="I65" s="44"/>
    </row>
    <row r="66" spans="2:14" s="4" customFormat="1" ht="22.05" customHeight="1">
      <c r="B66" s="192" t="s">
        <v>5</v>
      </c>
      <c r="C66" s="192"/>
      <c r="D66" s="192"/>
      <c r="E66" s="192"/>
      <c r="I66" s="193"/>
      <c r="J66" s="193"/>
      <c r="K66" s="193"/>
    </row>
    <row r="67" spans="2:14" s="4" customFormat="1">
      <c r="B67" s="192"/>
      <c r="C67" s="192"/>
      <c r="D67" s="192"/>
      <c r="E67" s="192"/>
      <c r="I67" s="193"/>
      <c r="J67" s="193"/>
      <c r="K67" s="193"/>
    </row>
    <row r="68" spans="2:14" s="4" customFormat="1">
      <c r="B68" s="130"/>
      <c r="C68" s="130"/>
      <c r="D68" s="130"/>
      <c r="E68" s="130"/>
      <c r="I68" s="131"/>
      <c r="J68" s="131"/>
      <c r="K68" s="131"/>
    </row>
    <row r="69" spans="2:14" s="4" customFormat="1">
      <c r="B69" s="44" t="s">
        <v>74</v>
      </c>
      <c r="E69" s="130"/>
      <c r="F69" s="130"/>
      <c r="G69" s="130"/>
      <c r="H69" s="130"/>
      <c r="L69" s="131"/>
      <c r="M69" s="131"/>
      <c r="N69" s="131"/>
    </row>
    <row r="70" spans="2:14" s="4" customFormat="1" ht="21" customHeight="1">
      <c r="B70" s="193" t="s">
        <v>75</v>
      </c>
      <c r="C70" s="193"/>
      <c r="D70" s="193"/>
      <c r="E70" s="130"/>
      <c r="F70" s="130"/>
      <c r="G70" s="130"/>
      <c r="H70" s="130"/>
      <c r="L70" s="131"/>
      <c r="M70" s="131"/>
      <c r="N70" s="131"/>
    </row>
    <row r="71" spans="2:14">
      <c r="B71" s="193"/>
      <c r="C71" s="193"/>
      <c r="D71" s="193"/>
    </row>
    <row r="72" spans="2:14" ht="80.099999999999994" customHeight="1"/>
  </sheetData>
  <mergeCells count="10">
    <mergeCell ref="M27:M29"/>
    <mergeCell ref="B66:E67"/>
    <mergeCell ref="I66:K67"/>
    <mergeCell ref="B70:D71"/>
    <mergeCell ref="D1:I4"/>
    <mergeCell ref="J3:K3"/>
    <mergeCell ref="J4:K4"/>
    <mergeCell ref="J5:K5"/>
    <mergeCell ref="J6:K6"/>
    <mergeCell ref="F27:F29"/>
  </mergeCells>
  <dataValidations count="1">
    <dataValidation type="list" allowBlank="1" showInputMessage="1" showErrorMessage="1" sqref="C15 J15" xr:uid="{8FD0B502-D511-413C-994D-E5ECA062597A}">
      <formula1>$D$15:$H$15</formula1>
    </dataValidation>
  </dataValidations>
  <hyperlinks>
    <hyperlink ref="D8" location="Info!A1" display="Till innehållsförteckning" xr:uid="{661840AA-513A-4925-AACF-BB2D197832C5}"/>
  </hyperlink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a39bfa2-5f1b-4e3f-899a-ecef0547285a" xsi:nil="true"/>
    <lcf76f155ced4ddcb4097134ff3c332f xmlns="b5d83693-c0f8-48f5-8778-2396bc493c07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EC5B03372B1F842BAB68889E0485035" ma:contentTypeVersion="13" ma:contentTypeDescription="Opret et nyt dokument." ma:contentTypeScope="" ma:versionID="f94fe9e654b8f9001908adef2f15861d">
  <xsd:schema xmlns:xsd="http://www.w3.org/2001/XMLSchema" xmlns:xs="http://www.w3.org/2001/XMLSchema" xmlns:p="http://schemas.microsoft.com/office/2006/metadata/properties" xmlns:ns2="b5d83693-c0f8-48f5-8778-2396bc493c07" xmlns:ns3="0a39bfa2-5f1b-4e3f-899a-ecef0547285a" targetNamespace="http://schemas.microsoft.com/office/2006/metadata/properties" ma:root="true" ma:fieldsID="d1766bb98b31114dd6dbafdea8f9971a" ns2:_="" ns3:_="">
    <xsd:import namespace="b5d83693-c0f8-48f5-8778-2396bc493c07"/>
    <xsd:import namespace="0a39bfa2-5f1b-4e3f-899a-ecef0547285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d83693-c0f8-48f5-8778-2396bc493c0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Billedmærker" ma:readOnly="false" ma:fieldId="{5cf76f15-5ced-4ddc-b409-7134ff3c332f}" ma:taxonomyMulti="true" ma:sspId="99b1d6fa-7396-4be3-b0e0-255b88a4d43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39bfa2-5f1b-4e3f-899a-ecef0547285a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ab189442-bb36-45c5-aeb0-ef253abebe26}" ma:internalName="TaxCatchAll" ma:showField="CatchAllData" ma:web="0a39bfa2-5f1b-4e3f-899a-ecef054728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lt med 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441478A-0228-4A0C-BB21-DC6A82C8814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C2B5204-C0F7-4138-B6AB-25E9F5DACE72}">
  <ds:schemaRefs>
    <ds:schemaRef ds:uri="b5d83693-c0f8-48f5-8778-2396bc493c07"/>
    <ds:schemaRef ds:uri="http://schemas.microsoft.com/office/2006/metadata/properties"/>
    <ds:schemaRef ds:uri="http://purl.org/dc/dcmitype/"/>
    <ds:schemaRef ds:uri="http://schemas.microsoft.com/office/infopath/2007/PartnerControls"/>
    <ds:schemaRef ds:uri="http://www.w3.org/XML/1998/namespace"/>
    <ds:schemaRef ds:uri="http://schemas.microsoft.com/office/2006/documentManagement/types"/>
    <ds:schemaRef ds:uri="http://purl.org/dc/terms/"/>
    <ds:schemaRef ds:uri="http://purl.org/dc/elements/1.1/"/>
    <ds:schemaRef ds:uri="http://schemas.openxmlformats.org/package/2006/metadata/core-properties"/>
    <ds:schemaRef ds:uri="0a39bfa2-5f1b-4e3f-899a-ecef0547285a"/>
  </ds:schemaRefs>
</ds:datastoreItem>
</file>

<file path=customXml/itemProps3.xml><?xml version="1.0" encoding="utf-8"?>
<ds:datastoreItem xmlns:ds="http://schemas.openxmlformats.org/officeDocument/2006/customXml" ds:itemID="{51490EC8-88A9-481F-AF4C-6A6ABF9C582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5d83693-c0f8-48f5-8778-2396bc493c07"/>
    <ds:schemaRef ds:uri="0a39bfa2-5f1b-4e3f-899a-ecef054728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7</vt:i4>
      </vt:variant>
    </vt:vector>
  </HeadingPairs>
  <TitlesOfParts>
    <vt:vector size="7" baseType="lpstr">
      <vt:lpstr>Info</vt:lpstr>
      <vt:lpstr>TCO-bilar-köp-</vt:lpstr>
      <vt:lpstr>TCO-bilar leasing</vt:lpstr>
      <vt:lpstr>Exempel El-Bensin 2500mil</vt:lpstr>
      <vt:lpstr>Exempel El-Bensin 4500mil</vt:lpstr>
      <vt:lpstr>TCO-kalkyl-renhållningsfordon</vt:lpstr>
      <vt:lpstr>TCO-kalkyl - kompaktlastare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Fyrbodals TCO-verktyg</dc:title>
  <dc:subject/>
  <dc:creator>Kindblom, Pål</dc:creator>
  <cp:keywords/>
  <dc:description/>
  <cp:lastModifiedBy>Andreas Borg</cp:lastModifiedBy>
  <cp:revision/>
  <dcterms:created xsi:type="dcterms:W3CDTF">2020-05-07T11:43:17Z</dcterms:created>
  <dcterms:modified xsi:type="dcterms:W3CDTF">2025-01-20T09:45:37Z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0x010100EEC5B03372B1F842BAB68889E0485035</vt:lpwstr>
  </property>
  <property fmtid="{D5CDD505-2E9C-101B-9397-08002B2CF9AE}" pid="3" name="MediaServiceImageTags">
    <vt:lpwstr/>
  </property>
</Properties>
</file>